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71" yWindow="1095" windowWidth="19320" windowHeight="10395" tabRatio="700" activeTab="0"/>
  </bookViews>
  <sheets>
    <sheet name="Москва и М.О." sheetId="1" r:id="rId1"/>
    <sheet name="Регионы РФ" sheetId="2" r:id="rId2"/>
    <sheet name="1" sheetId="3" state="hidden" r:id="rId3"/>
  </sheets>
  <definedNames>
    <definedName name="_A123695">'1'!$A$1</definedName>
    <definedName name="_Toc174181606" localSheetId="0">'Москва и М.О.'!#REF!</definedName>
    <definedName name="_xlnm._FilterDatabase" localSheetId="0" hidden="1">'Москва и М.О.'!$A$5:$K$396</definedName>
    <definedName name="_xlnm._FilterDatabase" localSheetId="1" hidden="1">'Регионы РФ'!$A$5:$K$604</definedName>
    <definedName name="Z_36190236_00F1_41BF_B838_1AAFBFF3371D_.wvu.FilterData" localSheetId="0" hidden="1">'Москва и М.О.'!$A$5:$K$340</definedName>
    <definedName name="Z_36190236_00F1_41BF_B838_1AAFBFF3371D_.wvu.FilterData" localSheetId="1" hidden="1">'Регионы РФ'!$A$5:$K$604</definedName>
    <definedName name="Z_36190236_00F1_41BF_B838_1AAFBFF3371D_.wvu.PrintArea" localSheetId="1" hidden="1">'Регионы РФ'!#REF!</definedName>
    <definedName name="Z_36190236_00F1_41BF_B838_1AAFBFF3371D_.wvu.PrintTitles" localSheetId="0" hidden="1">'Москва и М.О.'!$6:$6</definedName>
    <definedName name="Z_36190236_00F1_41BF_B838_1AAFBFF3371D_.wvu.PrintTitles" localSheetId="1" hidden="1">'Регионы РФ'!$5:$5</definedName>
    <definedName name="Z_36190236_00F1_41BF_B838_1AAFBFF3371D_.wvu.Rows" localSheetId="0" hidden="1">'Москва и М.О.'!#REF!,'Москва и М.О.'!#REF!,'Москва и М.О.'!#REF!</definedName>
    <definedName name="Z_36190236_00F1_41BF_B838_1AAFBFF3371D_.wvu.Rows" localSheetId="1" hidden="1">'Регионы РФ'!#REF!,'Регионы РФ'!#REF!</definedName>
    <definedName name="Z_5D7485C6_A44F_4794_9CCA_F5ABA372F10E_.wvu.FilterData" localSheetId="0" hidden="1">'Москва и М.О.'!$A$5:$K$340</definedName>
    <definedName name="Z_5D7485C6_A44F_4794_9CCA_F5ABA372F10E_.wvu.FilterData" localSheetId="1" hidden="1">'Регионы РФ'!$A$5:$K$604</definedName>
    <definedName name="Z_5D7485C6_A44F_4794_9CCA_F5ABA372F10E_.wvu.PrintArea" localSheetId="1" hidden="1">'Регионы РФ'!#REF!</definedName>
    <definedName name="Z_5D7485C6_A44F_4794_9CCA_F5ABA372F10E_.wvu.PrintTitles" localSheetId="0" hidden="1">'Москва и М.О.'!$6:$6</definedName>
    <definedName name="Z_5D7485C6_A44F_4794_9CCA_F5ABA372F10E_.wvu.PrintTitles" localSheetId="1" hidden="1">'Регионы РФ'!$5:$5</definedName>
    <definedName name="Z_5D7485C6_A44F_4794_9CCA_F5ABA372F10E_.wvu.Rows" localSheetId="0" hidden="1">'Москва и М.О.'!#REF!,'Москва и М.О.'!#REF!,'Москва и М.О.'!#REF!</definedName>
    <definedName name="Z_5D7485C6_A44F_4794_9CCA_F5ABA372F10E_.wvu.Rows" localSheetId="1" hidden="1">'Регионы РФ'!#REF!,'Регионы РФ'!#REF!</definedName>
    <definedName name="Z_676A1B1A_E711_47B6_B529_5757CFDEC2AF_.wvu.FilterData" localSheetId="1" hidden="1">'Регионы РФ'!$A$5:$K$604</definedName>
    <definedName name="Z_7B7BE441_0BFA_4208_BDFA_F6164C4D3B8D_.wvu.FilterData" localSheetId="0" hidden="1">'Москва и М.О.'!$A$5:$K$340</definedName>
    <definedName name="Z_7B7BE441_0BFA_4208_BDFA_F6164C4D3B8D_.wvu.FilterData" localSheetId="1" hidden="1">'Регионы РФ'!$A$5:$K$604</definedName>
    <definedName name="Z_7B7BE441_0BFA_4208_BDFA_F6164C4D3B8D_.wvu.PrintArea" localSheetId="1" hidden="1">'Регионы РФ'!#REF!</definedName>
    <definedName name="Z_7B7BE441_0BFA_4208_BDFA_F6164C4D3B8D_.wvu.PrintTitles" localSheetId="0" hidden="1">'Москва и М.О.'!$6:$6</definedName>
    <definedName name="Z_7B7BE441_0BFA_4208_BDFA_F6164C4D3B8D_.wvu.PrintTitles" localSheetId="1" hidden="1">'Регионы РФ'!$5:$5</definedName>
    <definedName name="Z_7B7BE441_0BFA_4208_BDFA_F6164C4D3B8D_.wvu.Rows" localSheetId="0" hidden="1">'Москва и М.О.'!#REF!,'Москва и М.О.'!#REF!,'Москва и М.О.'!#REF!</definedName>
    <definedName name="Z_7B7BE441_0BFA_4208_BDFA_F6164C4D3B8D_.wvu.Rows" localSheetId="1" hidden="1">'Регионы РФ'!#REF!,'Регионы РФ'!#REF!</definedName>
    <definedName name="Z_9F98F022_9328_418A_A8E1_662194EEB8CA_.wvu.FilterData" localSheetId="1" hidden="1">'Регионы РФ'!$A$5:$K$604</definedName>
    <definedName name="Z_DD73CFA3_5C39_4D44_82F3_8A0CEDD4446F_.wvu.FilterData" localSheetId="1" hidden="1">'Регионы РФ'!$A$5:$K$604</definedName>
    <definedName name="Z_EF0F3303_7678_484C_A5C0_81DFBDCFDBB1_.wvu.FilterData" localSheetId="1" hidden="1">'Регионы РФ'!$A$5:$K$604</definedName>
    <definedName name="_xlnm.Print_Titles" localSheetId="0">'Москва и М.О.'!$6:$6</definedName>
    <definedName name="_xlnm.Print_Titles" localSheetId="1">'Регионы РФ'!$5:$5</definedName>
    <definedName name="_xlnm.Print_Area" localSheetId="0">'Москва и М.О.'!$A$1:$K$359</definedName>
    <definedName name="_xlnm.Print_Area" localSheetId="1">'Регионы РФ'!#REF!</definedName>
  </definedNames>
  <calcPr fullCalcOnLoad="1"/>
</workbook>
</file>

<file path=xl/sharedStrings.xml><?xml version="1.0" encoding="utf-8"?>
<sst xmlns="http://schemas.openxmlformats.org/spreadsheetml/2006/main" count="5930" uniqueCount="1928">
  <si>
    <t>М.О. - З</t>
  </si>
  <si>
    <t>Список</t>
  </si>
  <si>
    <t>Бренд</t>
  </si>
  <si>
    <t>М.О. - СЗ</t>
  </si>
  <si>
    <t>М.О. - С</t>
  </si>
  <si>
    <t>М.О. - СВ</t>
  </si>
  <si>
    <t>М.О. - В</t>
  </si>
  <si>
    <t>М.О. - ЮВ</t>
  </si>
  <si>
    <t>Республика Коми</t>
  </si>
  <si>
    <t>Всего АНГКС  -</t>
  </si>
  <si>
    <t>Кол-во АГНКС</t>
  </si>
  <si>
    <t>Итого</t>
  </si>
  <si>
    <t>5/17/</t>
  </si>
  <si>
    <t>Автомойки</t>
  </si>
  <si>
    <t>Всего -</t>
  </si>
  <si>
    <t>Кол-во моек</t>
  </si>
  <si>
    <t>Челябинская обл.</t>
  </si>
  <si>
    <t>Иркутская обл.</t>
  </si>
  <si>
    <t>САО</t>
  </si>
  <si>
    <t>ВТК</t>
  </si>
  <si>
    <t>Ленинградская обл.</t>
  </si>
  <si>
    <t>Газ</t>
  </si>
  <si>
    <t>Калужская обл.</t>
  </si>
  <si>
    <t>г.Москва и МО</t>
  </si>
  <si>
    <t>Регионы</t>
  </si>
  <si>
    <t>За пределами Р.Ф.</t>
  </si>
  <si>
    <t>№ п/п</t>
  </si>
  <si>
    <t>Кол-во АЗС</t>
  </si>
  <si>
    <t>Итого:</t>
  </si>
  <si>
    <t>М.О. - Ю</t>
  </si>
  <si>
    <t>М.О. - ЮЗ</t>
  </si>
  <si>
    <t>Башкортостан</t>
  </si>
  <si>
    <t>Новаторрус</t>
  </si>
  <si>
    <t>Доверие и Удача</t>
  </si>
  <si>
    <t>ТК Петролекс</t>
  </si>
  <si>
    <t>МНК-Газозаправка</t>
  </si>
  <si>
    <t>Орловская обл.</t>
  </si>
  <si>
    <t>Пензенская обл.</t>
  </si>
  <si>
    <t>ЗАО</t>
  </si>
  <si>
    <t>СВАО</t>
  </si>
  <si>
    <t>Хакасия</t>
  </si>
  <si>
    <t>Автолюкс</t>
  </si>
  <si>
    <t>Псковская обл.</t>
  </si>
  <si>
    <t>Курская обл.</t>
  </si>
  <si>
    <t>Компания</t>
  </si>
  <si>
    <t>Тамбовская обл.</t>
  </si>
  <si>
    <t>Тверская обл.</t>
  </si>
  <si>
    <t>Бурятия</t>
  </si>
  <si>
    <t>Владимирская обл.</t>
  </si>
  <si>
    <t>Забайкальский край</t>
  </si>
  <si>
    <t>Ивановская обл.</t>
  </si>
  <si>
    <t>Патр</t>
  </si>
  <si>
    <t>СЗАО</t>
  </si>
  <si>
    <t>ВАО</t>
  </si>
  <si>
    <t>Белгородская обл.</t>
  </si>
  <si>
    <t>Ставропольский край</t>
  </si>
  <si>
    <t>Вологодская обл.</t>
  </si>
  <si>
    <t>Псковнефтепр</t>
  </si>
  <si>
    <t>Курганская обл.</t>
  </si>
  <si>
    <t>Костромская обл.</t>
  </si>
  <si>
    <t>г.Москва</t>
  </si>
  <si>
    <t>Тыва</t>
  </si>
  <si>
    <t>Тюменская обл.</t>
  </si>
  <si>
    <t>Калмыкия</t>
  </si>
  <si>
    <t>Липецкая обл.</t>
  </si>
  <si>
    <t>Ассирия</t>
  </si>
  <si>
    <t>Канда</t>
  </si>
  <si>
    <t>Доверие и удача</t>
  </si>
  <si>
    <t>Интеграл М</t>
  </si>
  <si>
    <t>Фирма ОЛА</t>
  </si>
  <si>
    <t>Нижегородская обл.</t>
  </si>
  <si>
    <t>Ханты-Мансийский АО</t>
  </si>
  <si>
    <t>Свердловская обл.</t>
  </si>
  <si>
    <t>Марий Эл</t>
  </si>
  <si>
    <t>Московская область</t>
  </si>
  <si>
    <t>Брянская обл.</t>
  </si>
  <si>
    <t>Тульская обл.</t>
  </si>
  <si>
    <t>Красноярский край</t>
  </si>
  <si>
    <t>Пермский край</t>
  </si>
  <si>
    <t>Воронежская обл.</t>
  </si>
  <si>
    <t>Читинская обл.</t>
  </si>
  <si>
    <t>Чувашия</t>
  </si>
  <si>
    <t>Архангельская обл.</t>
  </si>
  <si>
    <t>Карелия</t>
  </si>
  <si>
    <t>Ростовская обл.</t>
  </si>
  <si>
    <t>Регион</t>
  </si>
  <si>
    <t>Адыгея</t>
  </si>
  <si>
    <t>Всего АЗС -</t>
  </si>
  <si>
    <t>2.1.</t>
  </si>
  <si>
    <t>ЕКА-Процессинг</t>
  </si>
  <si>
    <t>Новгороднефтепродукт</t>
  </si>
  <si>
    <t>Алтай</t>
  </si>
  <si>
    <t>Алтайский край</t>
  </si>
  <si>
    <t>ЮВАО</t>
  </si>
  <si>
    <t>Мурманская обл.</t>
  </si>
  <si>
    <t>Саратовская обл.</t>
  </si>
  <si>
    <t>Белоруссия</t>
  </si>
  <si>
    <t>Техно-ойл</t>
  </si>
  <si>
    <t>Смоленская обл.</t>
  </si>
  <si>
    <t>Удмуртия</t>
  </si>
  <si>
    <t>ППР</t>
  </si>
  <si>
    <t>Магистраль</t>
  </si>
  <si>
    <t>город Москва</t>
  </si>
  <si>
    <t>1.1.</t>
  </si>
  <si>
    <t>ЦАО</t>
  </si>
  <si>
    <t>+</t>
  </si>
  <si>
    <t>Адрес</t>
  </si>
  <si>
    <t>Московская обл.</t>
  </si>
  <si>
    <t>Кемеровская обл.</t>
  </si>
  <si>
    <t>ЮАО</t>
  </si>
  <si>
    <t>Волгоградская обл.</t>
  </si>
  <si>
    <t>Калининградская обл.</t>
  </si>
  <si>
    <t>Краснодарский кр.</t>
  </si>
  <si>
    <t>Всего АЗС  -</t>
  </si>
  <si>
    <t>Страна</t>
  </si>
  <si>
    <t>Польша</t>
  </si>
  <si>
    <t>Татнефть-АЗС-Запад</t>
  </si>
  <si>
    <t>Автокарт-Воронеж</t>
  </si>
  <si>
    <t>Астраханская обл.</t>
  </si>
  <si>
    <t>Омская обл.</t>
  </si>
  <si>
    <t>Лина</t>
  </si>
  <si>
    <t>Вертикаль</t>
  </si>
  <si>
    <t>Митин</t>
  </si>
  <si>
    <t>Демидова</t>
  </si>
  <si>
    <t>Юникард</t>
  </si>
  <si>
    <t>Грейтек</t>
  </si>
  <si>
    <t>Хорошая мойка</t>
  </si>
  <si>
    <t>Ямало-Ненецкий АО</t>
  </si>
  <si>
    <t>Ярославская обл</t>
  </si>
  <si>
    <t>Новгородская обл.</t>
  </si>
  <si>
    <t>Томская обл.</t>
  </si>
  <si>
    <t>ЗелАО</t>
  </si>
  <si>
    <t>Мордовия</t>
  </si>
  <si>
    <t>ЮЗАО</t>
  </si>
  <si>
    <t>Св.Осетия-Алания</t>
  </si>
  <si>
    <t>Татарстан</t>
  </si>
  <si>
    <t>Ульяновская обл.</t>
  </si>
  <si>
    <t>Кировская обл.</t>
  </si>
  <si>
    <t>Новосибирская обл.</t>
  </si>
  <si>
    <t>Роснефть</t>
  </si>
  <si>
    <t>Рязанская обл.</t>
  </si>
  <si>
    <t>Самарская обл.</t>
  </si>
  <si>
    <t>Нефтика</t>
  </si>
  <si>
    <t>Оренбургская обл.</t>
  </si>
  <si>
    <t>Владимирская область</t>
  </si>
  <si>
    <t>Воронежская область</t>
  </si>
  <si>
    <t>Ивановская область</t>
  </si>
  <si>
    <t>Костромская область</t>
  </si>
  <si>
    <t>Республика Карелия</t>
  </si>
  <si>
    <t>Краснодарский край</t>
  </si>
  <si>
    <t>Липецкая область</t>
  </si>
  <si>
    <t>Новгородская область</t>
  </si>
  <si>
    <t>Орловская область</t>
  </si>
  <si>
    <t>Ростовская область</t>
  </si>
  <si>
    <t>Рязанская область</t>
  </si>
  <si>
    <t>Кадомский район, село Восход, трасса Сасово - Елатьма - Кадом, слева, АЗС 8 / Змей Горыныч</t>
  </si>
  <si>
    <t>Р124, слева, Сасовский район, село Саблино, АЗС 9 / Змей Горыныч</t>
  </si>
  <si>
    <t>Свердловская область</t>
  </si>
  <si>
    <t>Республика Татарстан</t>
  </si>
  <si>
    <t>Тульская область</t>
  </si>
  <si>
    <t>М2, 277 км, справа / АЗС</t>
  </si>
  <si>
    <t>Челябинская область</t>
  </si>
  <si>
    <t>Ярославская область</t>
  </si>
  <si>
    <t>Республика Крым</t>
  </si>
  <si>
    <t>Нижегородская область</t>
  </si>
  <si>
    <t>Республика Сев.Осетия-Алания</t>
  </si>
  <si>
    <t>Ялтинское шоссе, 167 / ТЭС</t>
  </si>
  <si>
    <t>Севастополь, Сапунгорская улица, 32а / ТЭС</t>
  </si>
  <si>
    <t>1950.1055</t>
  </si>
  <si>
    <t>1950.1056</t>
  </si>
  <si>
    <t>1950.1057</t>
  </si>
  <si>
    <t>1950.1058</t>
  </si>
  <si>
    <t>1950.1059</t>
  </si>
  <si>
    <t>1950.712</t>
  </si>
  <si>
    <t>Р242, справа, Кунгурский район, деревня Шавкуново, АЗС 8 / Ликом</t>
  </si>
  <si>
    <t>Р242, слева, Кунгурский район, поселок Голдыревский, АЗС 13 / Ликом</t>
  </si>
  <si>
    <t>1950.156</t>
  </si>
  <si>
    <t>1950.157</t>
  </si>
  <si>
    <t>1950.593</t>
  </si>
  <si>
    <t>1950.604</t>
  </si>
  <si>
    <t>1950.750</t>
  </si>
  <si>
    <t>1950.751</t>
  </si>
  <si>
    <t>1950.1051</t>
  </si>
  <si>
    <t>1950.716</t>
  </si>
  <si>
    <t>1950.722</t>
  </si>
  <si>
    <t>1950.723</t>
  </si>
  <si>
    <t>1950.781</t>
  </si>
  <si>
    <t>1950.782</t>
  </si>
  <si>
    <t>1950.799</t>
  </si>
  <si>
    <t>1950.947</t>
  </si>
  <si>
    <t>1950.1038</t>
  </si>
  <si>
    <t>1950.445</t>
  </si>
  <si>
    <t>1950.446</t>
  </si>
  <si>
    <t>1950.447</t>
  </si>
  <si>
    <t>1950.449</t>
  </si>
  <si>
    <t>1950.725</t>
  </si>
  <si>
    <t>М4, 446 км, слева, Хлевенский район, поселок Елецкое Маланино, АЗС 102 / Газпром</t>
  </si>
  <si>
    <t>Хлевенский район, село Хлевное, АЗС 136 / Газпром</t>
  </si>
  <si>
    <t>1950.719</t>
  </si>
  <si>
    <t>1950.732</t>
  </si>
  <si>
    <t>1950.152</t>
  </si>
  <si>
    <t>1950.153</t>
  </si>
  <si>
    <t>1950.154</t>
  </si>
  <si>
    <t>1950.155</t>
  </si>
  <si>
    <t>1950.523</t>
  </si>
  <si>
    <t>1950.524</t>
  </si>
  <si>
    <t>1950.527</t>
  </si>
  <si>
    <t>1950.528</t>
  </si>
  <si>
    <t>1950.1089</t>
  </si>
  <si>
    <t>1950.1091</t>
  </si>
  <si>
    <t>1950.1093</t>
  </si>
  <si>
    <t>1950.759</t>
  </si>
  <si>
    <t>1950.199</t>
  </si>
  <si>
    <t>1950.200</t>
  </si>
  <si>
    <t>1950.201</t>
  </si>
  <si>
    <t>Матвеево-Курганский район, село Староротовка, трасса Самбек-Матвеев-Курган, 1 км., АЗС №22 / Прогресс</t>
  </si>
  <si>
    <t>Неклиновский район, село Покровское, улица Олега Кошевого, 26б, АЗС 395 / Газпром</t>
  </si>
  <si>
    <t>1950.411</t>
  </si>
  <si>
    <t>1950.414</t>
  </si>
  <si>
    <t>1950.415</t>
  </si>
  <si>
    <t>1950.416</t>
  </si>
  <si>
    <t>1950.417</t>
  </si>
  <si>
    <t>1950.420</t>
  </si>
  <si>
    <t>1950.422</t>
  </si>
  <si>
    <t>1950.424</t>
  </si>
  <si>
    <t>1950.426</t>
  </si>
  <si>
    <t>1950.433</t>
  </si>
  <si>
    <t>1950.434</t>
  </si>
  <si>
    <t>1950.435</t>
  </si>
  <si>
    <t>1950.439</t>
  </si>
  <si>
    <t>1950.441</t>
  </si>
  <si>
    <t>1950.442</t>
  </si>
  <si>
    <t>1950.443</t>
  </si>
  <si>
    <t>1950.456</t>
  </si>
  <si>
    <t>1950.457</t>
  </si>
  <si>
    <t>1950.458</t>
  </si>
  <si>
    <t>1950.460</t>
  </si>
  <si>
    <t>1950.462</t>
  </si>
  <si>
    <t>1950.464</t>
  </si>
  <si>
    <t>1950.468</t>
  </si>
  <si>
    <t>1950.469</t>
  </si>
  <si>
    <t>1950.472</t>
  </si>
  <si>
    <t>1950.474</t>
  </si>
  <si>
    <t>1950.477</t>
  </si>
  <si>
    <t>1950.478</t>
  </si>
  <si>
    <t>1950.480</t>
  </si>
  <si>
    <t>1950.484</t>
  </si>
  <si>
    <t>1950.485</t>
  </si>
  <si>
    <t>1950.486</t>
  </si>
  <si>
    <t>1950.487</t>
  </si>
  <si>
    <t>1950.489</t>
  </si>
  <si>
    <t>1950.493</t>
  </si>
  <si>
    <t>1950.726</t>
  </si>
  <si>
    <t>1950.727</t>
  </si>
  <si>
    <t>1950.728</t>
  </si>
  <si>
    <t>1950.729</t>
  </si>
  <si>
    <t>1950.735</t>
  </si>
  <si>
    <t>1950.832</t>
  </si>
  <si>
    <t>1950.834</t>
  </si>
  <si>
    <t>1950.835</t>
  </si>
  <si>
    <t>Р126, слева, Ряжский район, Ряжск, улица Энгельса, 116б, АЗС 4 / Змей Горыныч</t>
  </si>
  <si>
    <t>М5, 303 км, слева, Путятинский район, село Екатериновка / Змей Горыныч</t>
  </si>
  <si>
    <t>1950.631</t>
  </si>
  <si>
    <t>1950.633</t>
  </si>
  <si>
    <t>1950.635</t>
  </si>
  <si>
    <t>1950.636</t>
  </si>
  <si>
    <t>1950.747</t>
  </si>
  <si>
    <t>1950.748</t>
  </si>
  <si>
    <t>1950.749</t>
  </si>
  <si>
    <t>Р351, справа, Белоярский район, село Малобрусянское / VARTA</t>
  </si>
  <si>
    <t>1950.970</t>
  </si>
  <si>
    <t>1950.972</t>
  </si>
  <si>
    <t>1950.973</t>
  </si>
  <si>
    <t>Инкерман, Симферопольское ш., 3 / ТЭС</t>
  </si>
  <si>
    <t>1950.206</t>
  </si>
  <si>
    <t>1950.808</t>
  </si>
  <si>
    <t>1950.810</t>
  </si>
  <si>
    <t>1950.897</t>
  </si>
  <si>
    <t>1950.898</t>
  </si>
  <si>
    <t>1950.899</t>
  </si>
  <si>
    <t>1950.900</t>
  </si>
  <si>
    <t>1950.902</t>
  </si>
  <si>
    <t>1950.903</t>
  </si>
  <si>
    <t>1950.907</t>
  </si>
  <si>
    <t>1950.916</t>
  </si>
  <si>
    <t>1950.1007</t>
  </si>
  <si>
    <t>1950.1036</t>
  </si>
  <si>
    <t>1950.1037</t>
  </si>
  <si>
    <t>1950.1046</t>
  </si>
  <si>
    <t>М7, 625 км, справа, Моргаушский район, деревня Калайкасы / АЗС</t>
  </si>
  <si>
    <t>М7, 687 км, слева, Цивильский район, деревня Нюрши / АЗС</t>
  </si>
  <si>
    <t>1950.197</t>
  </si>
  <si>
    <t>1950.198</t>
  </si>
  <si>
    <t>1950.107</t>
  </si>
  <si>
    <t>1950.114</t>
  </si>
  <si>
    <t>1950.132</t>
  </si>
  <si>
    <t>1950.134</t>
  </si>
  <si>
    <t>1950.135</t>
  </si>
  <si>
    <t>1950.136</t>
  </si>
  <si>
    <t>1950.137</t>
  </si>
  <si>
    <t>1950.138</t>
  </si>
  <si>
    <t>1950.139</t>
  </si>
  <si>
    <t>1950.140</t>
  </si>
  <si>
    <t>1950.147</t>
  </si>
  <si>
    <t>1950.149</t>
  </si>
  <si>
    <t>1950.150</t>
  </si>
  <si>
    <t>1950.753</t>
  </si>
  <si>
    <t>1950.1063</t>
  </si>
  <si>
    <t>Кайзер</t>
  </si>
  <si>
    <t>Джи Пи Си Рус</t>
  </si>
  <si>
    <t>Кедр</t>
  </si>
  <si>
    <t>Фирма ТЭС</t>
  </si>
  <si>
    <t>КТК</t>
  </si>
  <si>
    <t>ТомскнефтьЮг</t>
  </si>
  <si>
    <t>НовгородНП</t>
  </si>
  <si>
    <t>ТД СКОН</t>
  </si>
  <si>
    <t>1950.160</t>
  </si>
  <si>
    <t>1950.161</t>
  </si>
  <si>
    <t>1950.162</t>
  </si>
  <si>
    <t>1950.163</t>
  </si>
  <si>
    <t>1950.164</t>
  </si>
  <si>
    <t>1950.166</t>
  </si>
  <si>
    <t>1950.167</t>
  </si>
  <si>
    <t>1950.168</t>
  </si>
  <si>
    <t>1950.177</t>
  </si>
  <si>
    <t>1950.179</t>
  </si>
  <si>
    <t>1950.190</t>
  </si>
  <si>
    <t>1950.233</t>
  </si>
  <si>
    <t>1950.568</t>
  </si>
  <si>
    <t>1950.642</t>
  </si>
  <si>
    <t>1950.643</t>
  </si>
  <si>
    <t>1950.644</t>
  </si>
  <si>
    <t>1950.647</t>
  </si>
  <si>
    <t>1950.653</t>
  </si>
  <si>
    <t>1950.654</t>
  </si>
  <si>
    <t>1950.655</t>
  </si>
  <si>
    <t>1950.656</t>
  </si>
  <si>
    <t>1950.657</t>
  </si>
  <si>
    <t>1950.658</t>
  </si>
  <si>
    <t>1950.662</t>
  </si>
  <si>
    <t>1950.664</t>
  </si>
  <si>
    <t>1950.666</t>
  </si>
  <si>
    <t>1950.672</t>
  </si>
  <si>
    <t>1950.673</t>
  </si>
  <si>
    <t>1950.690</t>
  </si>
  <si>
    <t>1950.691</t>
  </si>
  <si>
    <t>1950.692</t>
  </si>
  <si>
    <t>1950.754</t>
  </si>
  <si>
    <t>1950.771</t>
  </si>
  <si>
    <t>1950.775</t>
  </si>
  <si>
    <t>1950.776</t>
  </si>
  <si>
    <t>1950.804</t>
  </si>
  <si>
    <t>1950.805</t>
  </si>
  <si>
    <t>1950.917</t>
  </si>
  <si>
    <t>1950.920</t>
  </si>
  <si>
    <t>1950.923</t>
  </si>
  <si>
    <t>1950.924</t>
  </si>
  <si>
    <t>1950.925</t>
  </si>
  <si>
    <t>1950.926</t>
  </si>
  <si>
    <t>1950.987</t>
  </si>
  <si>
    <t>1950.988</t>
  </si>
  <si>
    <t>1950.175</t>
  </si>
  <si>
    <t>1950.178</t>
  </si>
  <si>
    <t>1950.191</t>
  </si>
  <si>
    <t>1950.194</t>
  </si>
  <si>
    <t>1950.309</t>
  </si>
  <si>
    <t>1950.335</t>
  </si>
  <si>
    <t>1950.338</t>
  </si>
  <si>
    <t>1950.339</t>
  </si>
  <si>
    <t>1950.348</t>
  </si>
  <si>
    <t>1950.585</t>
  </si>
  <si>
    <t>1950.586</t>
  </si>
  <si>
    <t>1950.587</t>
  </si>
  <si>
    <t>1950.588</t>
  </si>
  <si>
    <t>1950.590</t>
  </si>
  <si>
    <t>1950.610</t>
  </si>
  <si>
    <t>1950.611</t>
  </si>
  <si>
    <t>1950.613</t>
  </si>
  <si>
    <t>1950.614</t>
  </si>
  <si>
    <t>1950.616</t>
  </si>
  <si>
    <t>1950.638</t>
  </si>
  <si>
    <t>1950.648</t>
  </si>
  <si>
    <t>1950.649</t>
  </si>
  <si>
    <t>1950.651</t>
  </si>
  <si>
    <t>1950.652</t>
  </si>
  <si>
    <t>1950.659</t>
  </si>
  <si>
    <t>1950.660</t>
  </si>
  <si>
    <t>1950.669</t>
  </si>
  <si>
    <t>1950.671</t>
  </si>
  <si>
    <t>1950.674</t>
  </si>
  <si>
    <t>1950.675</t>
  </si>
  <si>
    <t>1950.676</t>
  </si>
  <si>
    <t>1950.677</t>
  </si>
  <si>
    <t>1950.679</t>
  </si>
  <si>
    <t>1950.685</t>
  </si>
  <si>
    <t>1950.686</t>
  </si>
  <si>
    <t>1950.687</t>
  </si>
  <si>
    <t>1950.688</t>
  </si>
  <si>
    <t>1950.695</t>
  </si>
  <si>
    <t>1950.696</t>
  </si>
  <si>
    <t>1950.697</t>
  </si>
  <si>
    <t>1950.698</t>
  </si>
  <si>
    <t>1950.699</t>
  </si>
  <si>
    <t>1950.701</t>
  </si>
  <si>
    <t>1950.702</t>
  </si>
  <si>
    <t>1950.703</t>
  </si>
  <si>
    <t>1950.704</t>
  </si>
  <si>
    <t>1950.705</t>
  </si>
  <si>
    <t>1950.706</t>
  </si>
  <si>
    <t>1950.707</t>
  </si>
  <si>
    <t>1950.708</t>
  </si>
  <si>
    <t>1950.715</t>
  </si>
  <si>
    <t>1950.762</t>
  </si>
  <si>
    <t>1950.812</t>
  </si>
  <si>
    <t>1950.914</t>
  </si>
  <si>
    <t>1950.918</t>
  </si>
  <si>
    <t>1950.921</t>
  </si>
  <si>
    <t>1950.922</t>
  </si>
  <si>
    <t>1950.927</t>
  </si>
  <si>
    <t>1950.928</t>
  </si>
  <si>
    <t>1950.931</t>
  </si>
  <si>
    <t>1950.932</t>
  </si>
  <si>
    <t>1950.933</t>
  </si>
  <si>
    <t>1950.934</t>
  </si>
  <si>
    <t>1950.935</t>
  </si>
  <si>
    <t>1950.938</t>
  </si>
  <si>
    <t>1950.945</t>
  </si>
  <si>
    <t>1950.946</t>
  </si>
  <si>
    <t>1950.975</t>
  </si>
  <si>
    <t>1950.976</t>
  </si>
  <si>
    <t>1950.977</t>
  </si>
  <si>
    <t>1950.980</t>
  </si>
  <si>
    <t>1950.981</t>
  </si>
  <si>
    <t>1950.984</t>
  </si>
  <si>
    <t>1950.985</t>
  </si>
  <si>
    <t>Интеройл</t>
  </si>
  <si>
    <t>Джи Би Петрол</t>
  </si>
  <si>
    <t>Аквапикет</t>
  </si>
  <si>
    <t>ИПС</t>
  </si>
  <si>
    <t>Нефтьмагистраль</t>
  </si>
  <si>
    <t>Тверская область</t>
  </si>
  <si>
    <t>Золотой колос</t>
  </si>
  <si>
    <t>Эталонефтепродукт</t>
  </si>
  <si>
    <t>ДорисНП</t>
  </si>
  <si>
    <t>Интерсила</t>
  </si>
  <si>
    <t>ЯТК</t>
  </si>
  <si>
    <t>Симферополь, Севастопольская улица, 37б / ТЭС</t>
  </si>
  <si>
    <t>Симферополь, улица Куйбышева, 227 / ТЭС</t>
  </si>
  <si>
    <t>Новочеркасск, улица Ростовский Выезд, 20, АЗС 4 / Прогресс</t>
  </si>
  <si>
    <t>Таганрог, 1-й Новый переулок, 10а, АЗС 18 / Прогресс</t>
  </si>
  <si>
    <t>Новочеркасск, улица Машиностроителей, 1б, АЗС 33 / Прогресс</t>
  </si>
  <si>
    <t>Ростов-на-Дону, проспект Шолохова, 11, АЗС 171 / Газпром</t>
  </si>
  <si>
    <t>Батайск, Северное шоссе, 1, АЗС 150 / Газпром</t>
  </si>
  <si>
    <t>Ростов-на-Дону, Таганрогская улица, 134А, АЗС 134 / Газпром</t>
  </si>
  <si>
    <t>Гуково, Магистральная улица, 28, АЗС 168 / Газпром</t>
  </si>
  <si>
    <t>Азов, улица Победы, 16, АЗС 182 / Газпром</t>
  </si>
  <si>
    <t>Таганрог, поселок Северный, улица Маршала Жукова, 4к1, АЗС 229 / Газпром</t>
  </si>
  <si>
    <t>А260, справа, Донецк, улица Королёва, 3, АЗС 227 / Газпром</t>
  </si>
  <si>
    <t>Касимов, улица 50 лет СССР, 1в / Змей Горыныч</t>
  </si>
  <si>
    <t>Р242, 338 км, слева, Первоуральск, деревня Старые Решеты / VARTA</t>
  </si>
  <si>
    <t>1950.188</t>
  </si>
  <si>
    <t>1950.1044</t>
  </si>
  <si>
    <t>1950.581</t>
  </si>
  <si>
    <t>1950.731</t>
  </si>
  <si>
    <t>Санкт-Петербург</t>
  </si>
  <si>
    <t>1950.1117</t>
  </si>
  <si>
    <t>1950.1118</t>
  </si>
  <si>
    <t>1950.1119</t>
  </si>
  <si>
    <t>1950.1120</t>
  </si>
  <si>
    <t>1950.1108</t>
  </si>
  <si>
    <t>Травники-Ойл</t>
  </si>
  <si>
    <t>Руспетрол</t>
  </si>
  <si>
    <t>ТРАСТ</t>
  </si>
  <si>
    <t>АвтокартВоронеж</t>
  </si>
  <si>
    <t>Торговая марка АЗС, бренд</t>
  </si>
  <si>
    <t>АИСТ</t>
  </si>
  <si>
    <t>ИНВЕСТ-КАПИТАЛ</t>
  </si>
  <si>
    <t>КОРТ</t>
  </si>
  <si>
    <t>Петрол Инвест+</t>
  </si>
  <si>
    <t>Форум</t>
  </si>
  <si>
    <t>Фортекс</t>
  </si>
  <si>
    <t>БизнесЭкскюзив</t>
  </si>
  <si>
    <t>Комплекс-ойл</t>
  </si>
  <si>
    <t>1-я Многотопливная компания</t>
  </si>
  <si>
    <t>М9, слева, Красногорский район, деревня Гольево, Центральная улица, 2</t>
  </si>
  <si>
    <t>М5, 81 км, справа, Раменский район, село Степановское, АЗС 139</t>
  </si>
  <si>
    <t>Долгопрудный, Лихачевский проспект, 56</t>
  </si>
  <si>
    <t>Орехово-Зуевский район, Ликино-Дулёво, Автодорожная улица, 27, АЗС 309</t>
  </si>
  <si>
    <t>М8, 87 км, справа, Сергиево-Посадский район, село Бужаниново, АЗС 279</t>
  </si>
  <si>
    <t>М8, 87 км, слева, Сергиево-Посадский район, село Бужаниново, АЗС 280</t>
  </si>
  <si>
    <t>Клинский район, Клин, улица Чайковского, 60а, АЗС 41</t>
  </si>
  <si>
    <t>А108, справа, Воскресенский район, деревня Чемодурово, 71а, АЗС 3</t>
  </si>
  <si>
    <t>Воскресенский район, село Новлянское, Сельская улица, 10с1, АЗС 4</t>
  </si>
  <si>
    <t>Воскресенский район, Воскресенск, Колыберевская улица, 22, АЗС 6</t>
  </si>
  <si>
    <t>Воскресенский район, Воскресенск, улица Зелинского, 32, АЗС 8</t>
  </si>
  <si>
    <t>Электрогорск, улица Буденного, 2, АЗС 1</t>
  </si>
  <si>
    <t>Павловский Посад, Мишутинское шоссе, 2к2, АЗС 3</t>
  </si>
  <si>
    <t>Павлово-Посадский район, деревня Кузнецы, улица Новая, 22, АЗС 7</t>
  </si>
  <si>
    <t>Электрогорск, Советская улица, 47, АЗС 8</t>
  </si>
  <si>
    <t>Балашиха, Кучинское шоссе, вл. 8, АЗС 15</t>
  </si>
  <si>
    <t>Носовихинское, 58 км, справа, Павлово-Посадский район, деревня Евсеево, АЗС 6</t>
  </si>
  <si>
    <t>М10, 32 км, слева, Солнечногорский район, деревня Чёрная Грязь, АЗС 09</t>
  </si>
  <si>
    <t>М10, 32 км, справа, Солнечногорский район, деревня Чёрная Грязь, АЗС 08</t>
  </si>
  <si>
    <t>Р111, 13 км, слева, Солнечногорский район, деревня Юрлово, АЗС 012</t>
  </si>
  <si>
    <t>А101, 49 км, слева, АЗС 23</t>
  </si>
  <si>
    <t>М1, слева, Кубинка, Минское шоссе, 81а, АЗС 07</t>
  </si>
  <si>
    <t>М1, 46 км, справа, Одинцовский район, Голицыно, АЗС 011</t>
  </si>
  <si>
    <t>Коломна, улица Астахова, 2В, АЗС 05</t>
  </si>
  <si>
    <t>М1, 32 км, слева, Одинцовский район, деревня Солманово, АЗС 013</t>
  </si>
  <si>
    <t>Подольск, Домодедовское шоссе, 20а, АЗС 016</t>
  </si>
  <si>
    <t>Подольск, улица Лобачева, 14а, АЗС 017</t>
  </si>
  <si>
    <t>Подольск, проспект Юных Ленинцев, 1в, АЗС 018</t>
  </si>
  <si>
    <t>А107, 12 км, слева, Подольский район, деревня Новоселки, (ориентир км от М4), АЗС 019</t>
  </si>
  <si>
    <t>Варшавское, 54 км, слева, Подольский район, поселок Львовский, Московская улица, 3, АЗС 021</t>
  </si>
  <si>
    <t>Пушкинский район, деревня Лепешки, Красноармейское шоссе, 19 км, АЗС 04</t>
  </si>
  <si>
    <t>М5, 19 км, слева, Котельники, АЗС 023</t>
  </si>
  <si>
    <t>Котельники, Дзержинское шоссе, 28, АЗС 022</t>
  </si>
  <si>
    <t>А107, 3 км, слева, Дмитровский муниципальный район, деревня Дубровки, (ориентир км от А104), строение 300, АЗС 014</t>
  </si>
  <si>
    <t>Долгопрудный, Дмитровское шоссе, 8, АЗС 020</t>
  </si>
  <si>
    <t>А107, 3 км, справа, Дмитровский муниципальный район, деревня Дубровки, (ориентир км от А104), строение 301, АЗС 015</t>
  </si>
  <si>
    <t>Мытищинский район, Мытищи, Силикатная улица, 10а, АЗС 026</t>
  </si>
  <si>
    <t>М7, 20 км, слева, Балашиха, АЗС 027</t>
  </si>
  <si>
    <t>Р104, слева, Сергиево-Посадский район, село Мишутино, АЗС 029</t>
  </si>
  <si>
    <t>Мытищинский район, Мытищи, улица Попова, 6, АЗС 028</t>
  </si>
  <si>
    <t>Р104, слева, Сергиево-Посадский район, село Деулино, АЗС 030</t>
  </si>
  <si>
    <t>Мытищинский район, Мытищи, улица Мира, 1Б, АЗС 032</t>
  </si>
  <si>
    <t>Пушкино, Красноармейское шоссе, на выезде из города, АЗС 033</t>
  </si>
  <si>
    <t>М8, 41 км, слева, Пушкинский район, АЗС 034</t>
  </si>
  <si>
    <t>М7, 33 км, слева, Ногинский район, Старая Купавна, АЗС 036</t>
  </si>
  <si>
    <t>Красногорский район, деревня Гольево, Центральная улица, 65а, АЗС 16</t>
  </si>
  <si>
    <t>Люберецкий район, Люберцы, Южная улица, 32, АЗС Ф1</t>
  </si>
  <si>
    <t>М3, 80 км, слева, Наро-Фоминский район, деревня Рождествено, МАЗС 5</t>
  </si>
  <si>
    <t>М3, 80 км, справа, Наро-Фоминский район, деревня Рождествено, МАЗС 6</t>
  </si>
  <si>
    <t>Р114, 9 км, справа, Кашира, деревня Ожерелье, МАЗС 10</t>
  </si>
  <si>
    <t>М5, 147 км, слева, Луховицкий район, село Гавриловское, МАЗС 20</t>
  </si>
  <si>
    <t>А108, 5 км, слева, Серпуховский район, деревня Петровское, (ориентир км от М2), МАЗС 2</t>
  </si>
  <si>
    <t>Серпухов, Московское шоссе, 5 км, слева, МАЗС 3</t>
  </si>
  <si>
    <t>М2, 97 км, справа, Серпуховский район, деревня Палихово, МАЗС 4</t>
  </si>
  <si>
    <t>Наро-Фоминский район, село Атепцево, улица Левобережье</t>
  </si>
  <si>
    <t>Наро-Фоминский район, деревня Чешково, трасса Наро-Фоминск - А108, справа</t>
  </si>
  <si>
    <t>Пушкинский район, Пушкино, Новая улица, напротив дома 8</t>
  </si>
  <si>
    <t>Ивантеевка, Щелковский жд переезд</t>
  </si>
  <si>
    <t>Королёв, микрорайон Первомайский, Советская улица, 43А</t>
  </si>
  <si>
    <t>Пушкино, старое Ярославское шоссе, 37 км, справа</t>
  </si>
  <si>
    <t>А107, 13 км, справа, Пушкинский район, деревня Алёшино, ориентир км от М9</t>
  </si>
  <si>
    <t>М7, 183 км, справа, Владимир, Южный обход, 3 км, АЗС 13</t>
  </si>
  <si>
    <t>М7, 183 км, слева, Владимир, Южный обход, 3 км, АЗС 16</t>
  </si>
  <si>
    <t>Владимир, улица Погодина, 26а, АЗС 14</t>
  </si>
  <si>
    <t>М7, 96 км, слева, Петушинский район, деревня Киржач, АЗС 96-2 км</t>
  </si>
  <si>
    <t>М7, 115 км, слева, Петушинский район, деревня Новое Аннино, АЗС 115 км</t>
  </si>
  <si>
    <t>М7, 115 км, справа, Петушинский район, деревня Леоново, АЗС 115-2 км</t>
  </si>
  <si>
    <t>М7, 176 км, справа, Владимир, Московское шоссе, 13, у поста ГИБДД, АЗС 176 км</t>
  </si>
  <si>
    <t>Судогодский район, Судогда, улица Чапаева, 1А, АЗС Судогда</t>
  </si>
  <si>
    <t>Гусь-Хрустальный, Курловская улица, 366к, АЗС Гусь-Хрустальный</t>
  </si>
  <si>
    <t>Киржачский район, Киржач, улица Добровольского, 20а, АЗС Киржач</t>
  </si>
  <si>
    <t>М4, 476 км, слева, Рамонский район, поселок Комсомольский, улица Южная, 12, АЗС 129</t>
  </si>
  <si>
    <t>М4, 725 км, слева, Богучарский район, АЗС 127</t>
  </si>
  <si>
    <t>М4, 476 км, справа,Рамонский район, поселок Комсомольский, АЗС 128</t>
  </si>
  <si>
    <t>Кущевский район, станица Кущевская, улица Транспортная, 17, АЗС 7</t>
  </si>
  <si>
    <t>Приморско-Ахтарский район, Приморско-Ахтарск, улица Фестивальная, р-н АТСК, АЗС 24</t>
  </si>
  <si>
    <t>Кущевский район, станица Кущёвская, Октябрьская улица, 6, АЗС 14</t>
  </si>
  <si>
    <t>Кущевский район, станица Кисляковская, улица Котляревского, 82, АЗС 10</t>
  </si>
  <si>
    <t>Приморско-Ахтарский район, Приморско-Ахтарск, Фестивальная улица, трасса Тимашевск - Приморско-Ахтарск, 81 км, АЗС 206</t>
  </si>
  <si>
    <t>Р251, 26 км, справа, Темрюкский район, поселок Красный Октябрь, АЗС 195</t>
  </si>
  <si>
    <t>М10, 581 км, слева, Чудовский район, Чудово, АЗС 9</t>
  </si>
  <si>
    <t>М10, 388 км, справа, Валдайский район, Валдай, АЗС 25</t>
  </si>
  <si>
    <t>М10, 586 км, справа, Чудовский район, деревня Сябреницы, АЗС 21</t>
  </si>
  <si>
    <t>М10, 362 км, слева, Валдайский район, село Едрово, АЗС 55</t>
  </si>
  <si>
    <t>М10, 537 км, справа, Новгородский район, деревня Тютицы, АЗС 28</t>
  </si>
  <si>
    <t>М10, 479 км, слева, Крестецкий район, деревня Первомайское, АЗС 29</t>
  </si>
  <si>
    <t>М10, 510 км, справа, Новгородский район, деревня Новоселицы, АЗС 35</t>
  </si>
  <si>
    <t>М10, 459 км, справа, Крестецкий район, деревня Невская, АЗС 42</t>
  </si>
  <si>
    <t>М5, 1564 км, слева, Ашинский район, Аша</t>
  </si>
  <si>
    <t>М5, 1804 км, справа, Чебаркульский район, село Пустозерово</t>
  </si>
  <si>
    <t>Сосновский район, поселок Рощино, трасса Новое Поле - Рощино, 1 км, слева, АЗС 5</t>
  </si>
  <si>
    <t>Челябинск, поселок Шершни, Центральная улица, 3Б, АЗС 6</t>
  </si>
  <si>
    <t>Пластовский район, Пласт, улица Менделеева (пересечение с ул. Суворова), АЗС 10</t>
  </si>
  <si>
    <t>Каслинский район, село Воскресенское, трасса М5 (подъезд к г. Екатеринбург) - Снежинск, 5 км, слева, АЗС 11</t>
  </si>
  <si>
    <t>Верхний Уфалей, улица Ленина, 1к1, АЗС 25</t>
  </si>
  <si>
    <t>Каслинский район, село Тюбук, Революционная улица, 1а, АЗС 23</t>
  </si>
  <si>
    <t>Копейск, улица Кузнецова, 33</t>
  </si>
  <si>
    <t>Троицкий район, село Песчаное, Школьная улица, трасса Троицк - Октябрьское, слева, АЗС 32</t>
  </si>
  <si>
    <t>Чесменский район, село Чесма, улица Чапаева, 2, АЗС 33</t>
  </si>
  <si>
    <t>Миасс, улица 60 лет Октября, АЗС 30</t>
  </si>
  <si>
    <t>Пластовский район, село Степное, трасса Южноуральск - Магнитогорск, 78 км, справа</t>
  </si>
  <si>
    <t>Челябинск, улица Блюхера, 111, АЗС 1</t>
  </si>
  <si>
    <t>Челябинск, Троицкий тракт, 50Б, АЗС 2</t>
  </si>
  <si>
    <t>Аргаяшский район, село Кузнецкое, Придорожная улица, АЗС 3</t>
  </si>
  <si>
    <t>Ярославль, поселок Шевелюха, улица Шевелюха, 2, АЗС 20</t>
  </si>
  <si>
    <t>Ярославль, улица Вишняки, АЗС 19</t>
  </si>
  <si>
    <t>Ярославль, Волгоградская улица, 48, АЗС 1</t>
  </si>
  <si>
    <t>Ярославль, Большая Федоровская улица, 119, АЗС 2</t>
  </si>
  <si>
    <t>Ярославский район, поселок Кузнечиха, Промышленная улица, 5а, АЗС 5</t>
  </si>
  <si>
    <t>Ярославль, Промышленная улица, 14а, АЗС 4</t>
  </si>
  <si>
    <t>М8, 256 км, слева, Ярославль, Московский проспект, 122, АЗС 6</t>
  </si>
  <si>
    <t>Ярославский район, поселок Кузнечиха, Промышленная улица, 5ас2, АЗС 7</t>
  </si>
  <si>
    <t>Р104, 229 км, слева, Рыбинский район, поселок Искра Октября, АЗС 9</t>
  </si>
  <si>
    <t>М8, 288 км, справа, Ярославский район, деревня Муравино, АЗС 10</t>
  </si>
  <si>
    <t>Ярославль, улица Штрауса, 100к1, Суздальского шоссе, пересечение с улицой Леваневского, АЗС 17</t>
  </si>
  <si>
    <t>Ярославский район, деревня Ивановский Перевоз, Юго-западная окружная дорога, АЗС 8</t>
  </si>
  <si>
    <t>Угличский район, Углич, Ярославское шоссе, 2 км, справа, АЗС Газресурс</t>
  </si>
  <si>
    <t>Ярославль, улица Гагарина, 73</t>
  </si>
  <si>
    <t>1950.143</t>
  </si>
  <si>
    <t>1950.1151</t>
  </si>
  <si>
    <t>Ростов-на-Дону, поселок Орджоникидзе, Российская улица, 48И, АЗС 185</t>
  </si>
  <si>
    <t>Р74, 67 км, слева, Юрьев-Польский район, Юрьев-Польский, АЗС 23</t>
  </si>
  <si>
    <t>Р72, 15 км, слева, Судогодский район, деревня Бараки, АЗС 24</t>
  </si>
  <si>
    <t>1950.1156</t>
  </si>
  <si>
    <t>1950.1158</t>
  </si>
  <si>
    <t>А100, 30 км, слева, Одинцовский район, село Дубки, АЗС 10</t>
  </si>
  <si>
    <t>Одинцовский район, Одинцово, улица Маршала Бирюзова, 7, АЗС 1</t>
  </si>
  <si>
    <t>1950.1173</t>
  </si>
  <si>
    <t>1950.1174</t>
  </si>
  <si>
    <t>1950.1175</t>
  </si>
  <si>
    <t>М1, 99 км, слева, Можайский район, деревня Пушкино</t>
  </si>
  <si>
    <t>Шахты, посёлок Нежданная, Дачная улица, 264а, АЗС 173 / Газпром</t>
  </si>
  <si>
    <t>1950.1153</t>
  </si>
  <si>
    <t>АЗС Комплекс</t>
  </si>
  <si>
    <t>Коломна, улица Октябрьской Революции, 130 / Моснефть 105</t>
  </si>
  <si>
    <t>М5, 105 км, справа, Коломенский район, поселок Радужный / Моснефть 105</t>
  </si>
  <si>
    <t>1950.1181</t>
  </si>
  <si>
    <t>1950.1182</t>
  </si>
  <si>
    <t>1950.1176</t>
  </si>
  <si>
    <t>Новочеркасск, Баклановский проспект, 188а, АЗС 179 / Газпром</t>
  </si>
  <si>
    <t>М2, 42 км, слева, Подольск, деревня Бережки, АЗС 039 / Нефтьмагистраль</t>
  </si>
  <si>
    <t>ИП Гиясова</t>
  </si>
  <si>
    <t>Зарайский район, деревня Мендюкино, трасса Зарайск - Озеры, справа / АЗС</t>
  </si>
  <si>
    <t>1950.1186</t>
  </si>
  <si>
    <t>№ списка</t>
  </si>
  <si>
    <t>№ эмитент 
/ ТО</t>
  </si>
  <si>
    <t>ДТ</t>
  </si>
  <si>
    <t>АИ-92</t>
  </si>
  <si>
    <t>АИ-95</t>
  </si>
  <si>
    <t>ГАЗ</t>
  </si>
  <si>
    <t>1950.1152</t>
  </si>
  <si>
    <t>Ростов-на-Дону, улица Доватора, 154В, АЗС 169 / Газпром</t>
  </si>
  <si>
    <t>1950.1169</t>
  </si>
  <si>
    <t>1950.1177</t>
  </si>
  <si>
    <t>Приморский, Керченская улица, 82 / АТАН</t>
  </si>
  <si>
    <t>Шиловский район, Шилово, трасса Ряжск-Касимов-Н.Новгород, 107 км / АЗС</t>
  </si>
  <si>
    <t>Верхний Уфалей, Нижний Уфалей, улица Луначарского, 1к1, АЗС 24</t>
  </si>
  <si>
    <t>Коркинский район, Первомайский, Заводская улица, 15, АЗС 4</t>
  </si>
  <si>
    <t>Волоколамское, 31 км, справа, Красногорский район, Нахабино, Советская улица, 101а</t>
  </si>
  <si>
    <t>А104, 56 км, слева, Дмитровский район, Деденево, Московское шоссе, 1б</t>
  </si>
  <si>
    <t>Воскресенский район, Хорлово, улица Победы, 49, АЗС 5</t>
  </si>
  <si>
    <t>М2, 30 км, слева, Подольск, поселок Быково, АЗС 024</t>
  </si>
  <si>
    <t>Мытищинский район, Пироговский, улица Центральная, 100а, АЗС 031</t>
  </si>
  <si>
    <t>А108, 5 км, справа, Орехово-Зуевский район, Пригородный, (ориентир км от М7), МАЗС 17</t>
  </si>
  <si>
    <t>М2, 51 км, слева, Подольск, деревня Алтухово, МАЗС 12</t>
  </si>
  <si>
    <t>М4, 59 км, справа, Домодедово, деревня Барыбино, МАЗС 14</t>
  </si>
  <si>
    <t>Серпуховский район, Оболенск, Осенний бульвар, сторона 1, МАЗС 16</t>
  </si>
  <si>
    <t>М4, 111 км, слева, Кашира, деревня Колтово, МАЗС 11</t>
  </si>
  <si>
    <t>Щёлковский район, Загорянский, улица Калинина</t>
  </si>
  <si>
    <t>1950.1107</t>
  </si>
  <si>
    <t>Новочеркасск, Харьковское шоссе, 8в, АЗС 178</t>
  </si>
  <si>
    <t>Луховицы, улица Пушкина, 170г / АЗС</t>
  </si>
  <si>
    <t>Луховицы, улица Пушкина, 135 / АЗС</t>
  </si>
  <si>
    <t>1950.1192</t>
  </si>
  <si>
    <t>1950.1193</t>
  </si>
  <si>
    <t>1950.1196</t>
  </si>
  <si>
    <t>1950.1197</t>
  </si>
  <si>
    <t>Ялта, посёлок городского типа Кореиз, Кореизское шоссе, 3</t>
  </si>
  <si>
    <t>1950.1195</t>
  </si>
  <si>
    <t>Сергиево-Посадский район, Хотьково, Художественный проезд, 8 / NPS</t>
  </si>
  <si>
    <t>1950.1207</t>
  </si>
  <si>
    <t>Волгодонск, Морская улица, 130, ТЗК 177 / Газпром</t>
  </si>
  <si>
    <t>Р269, 93 км, слева, Егорлыкский район, станица Егорлыкская, ТЗК 162 / Газпром</t>
  </si>
  <si>
    <t>1950.1204</t>
  </si>
  <si>
    <t>1950.1205</t>
  </si>
  <si>
    <t>1950.1203</t>
  </si>
  <si>
    <t>Сальский район, Сальск, улица Свободы, 304, ТЗК 158 / Газпром</t>
  </si>
  <si>
    <t>1950.1054</t>
  </si>
  <si>
    <t>1950.1053</t>
  </si>
  <si>
    <t>1950.1228</t>
  </si>
  <si>
    <t>Екатеринбург, Автомагистральная улица, 37А / АЗС</t>
  </si>
  <si>
    <t>1950.1229</t>
  </si>
  <si>
    <t>Р242, 338 км, справа, Первоуральск, деревня Старые Решеты / VARTA</t>
  </si>
  <si>
    <t>1950.1238</t>
  </si>
  <si>
    <t>1950.1239</t>
  </si>
  <si>
    <t>А107, слева, Электросталь, Ногинское шоссе, АЗС 038 / Нефтьмагистраль</t>
  </si>
  <si>
    <t>1950.7817</t>
  </si>
  <si>
    <t>Подольск, микрорайон Климовск, Симферопольская улица, 6, АЗС 041 / Нефтьмагистраль</t>
  </si>
  <si>
    <t>Армянск, Симферопольское шоссе, 14, АЗС 66 / ТЭС</t>
  </si>
  <si>
    <t>1950.7822</t>
  </si>
  <si>
    <t>1950.7818</t>
  </si>
  <si>
    <t>Семикаракорский район, Семикаракорск, трасса Ростов-на-Дону - Волгодонск, 97 км, слева, АЗС 100 / Газпром</t>
  </si>
  <si>
    <t>1950.7820</t>
  </si>
  <si>
    <t>Ялта, пгт. Ливадия, Южнобережное ш., 7, АЗС 55</t>
  </si>
  <si>
    <t>Ялта, пгт. Симеиз, Южнобережное ш., 1, АЗС 56</t>
  </si>
  <si>
    <t>1950.1198</t>
  </si>
  <si>
    <t>1950.1199</t>
  </si>
  <si>
    <t>1950.7821</t>
  </si>
  <si>
    <t>Семикаракорский район, Семикаракорск, , трасса Ростов-на-Дону - Волгодонск, 97 км, справа, АЗС 99 / Газпром</t>
  </si>
  <si>
    <t>1950.7823</t>
  </si>
  <si>
    <t>Симферополь, посёлок городского типа Грэсовский, улица Кржижановского, 40, АЗС 54</t>
  </si>
  <si>
    <t>1950.650</t>
  </si>
  <si>
    <t>Химки, микрорайон Сходня, Железнодорожная улица, 11, АЗС 010 / Нефтьмагистраль</t>
  </si>
  <si>
    <t>1950.8460</t>
  </si>
  <si>
    <t>Софразвитие</t>
  </si>
  <si>
    <t>Егорьевск, Бронницкая улица, 8Б, АЗС 22 / NPS</t>
  </si>
  <si>
    <t>1950.8452</t>
  </si>
  <si>
    <t>1950.680</t>
  </si>
  <si>
    <t>1950.600</t>
  </si>
  <si>
    <t>1950.8598</t>
  </si>
  <si>
    <t>1950.8597</t>
  </si>
  <si>
    <t>Истра, поселок Северный, трасса Истра - Бужарово, справа, АЗС 10 / ИТК</t>
  </si>
  <si>
    <t>1950.8596</t>
  </si>
  <si>
    <t>Раздольненский район, поселок городского типа Раздольное, улица Антона Кима, 1а, АЗС 24 / ТЭС</t>
  </si>
  <si>
    <t>1950.8583</t>
  </si>
  <si>
    <t>Кострома, Магистральная улица, 8</t>
  </si>
  <si>
    <t>Кострома, Октябрьская улица, 54</t>
  </si>
  <si>
    <t>Кострома, улица Коммунаров, 1</t>
  </si>
  <si>
    <t>Кострома, улица Юрия Смирнова, 91</t>
  </si>
  <si>
    <t>Кострома, улица Юрия Смирнова, 85, АЗС 6</t>
  </si>
  <si>
    <t>М10, 443 км, слева, Крестецкий район, поселок городского типа Крестцы, улица Валдайская, АЗС 44</t>
  </si>
  <si>
    <t>Ярославль, проспект Дзержинского, 75, АЗС Дзержинский</t>
  </si>
  <si>
    <t>Ярославль, проспект Авиаторов, 159а, АЗС Авиаторов</t>
  </si>
  <si>
    <t>улица Поляны, вл59с1</t>
  </si>
  <si>
    <t>МКАД, 103 км, слева</t>
  </si>
  <si>
    <t>улица Борисовские Пруды, 1б</t>
  </si>
  <si>
    <t>МКАД, 35 км, справа, владение 6, АЗС Ясенево</t>
  </si>
  <si>
    <t>Международное шоссе, вл10</t>
  </si>
  <si>
    <t>Варшавское шоссе, вл201</t>
  </si>
  <si>
    <t>Севастопольский проспект, вл11б</t>
  </si>
  <si>
    <t>МКАД, 74 км, слева, внешняя сторона, владение 4</t>
  </si>
  <si>
    <t>Минская улица, 4а</t>
  </si>
  <si>
    <t>Болотниковская улица, вл36в</t>
  </si>
  <si>
    <t>Липецкая улица, вл23</t>
  </si>
  <si>
    <t>улица Обручева, 50</t>
  </si>
  <si>
    <t>Коровинское шоссе, 37б</t>
  </si>
  <si>
    <t>Большая Черёмушкинская улица, 1Ас1</t>
  </si>
  <si>
    <t>Ленинградское шоссе, 23А, АЗС 27</t>
  </si>
  <si>
    <t>Шлюзовая набережная, 14, АЗС 28</t>
  </si>
  <si>
    <t>улица Симоновский Вал, 28, АЗС 30</t>
  </si>
  <si>
    <t>Южнопортовая улица, 38, АЗС 2</t>
  </si>
  <si>
    <t>Варшавское шоссе, вл99А, АЗС 3</t>
  </si>
  <si>
    <t>улица Подольских Курсантов, вл7А, АЗС 4</t>
  </si>
  <si>
    <t>Загорьевский проезд, 2А, АЗС 6</t>
  </si>
  <si>
    <t>Варшавское шоссе, вл167Бс1, АЗС 9</t>
  </si>
  <si>
    <t>Никулинская улица, вл3А, АЗС 5</t>
  </si>
  <si>
    <t>Нежинская улица, 5А, АЗС 8</t>
  </si>
  <si>
    <t>проспект Мира, 186Б, АЗС 29</t>
  </si>
  <si>
    <t>МКАД, 13 км, справа, АЗС 10</t>
  </si>
  <si>
    <t>Боровское, 28 км, справа, поселение Внуковское, деревня Пыхтино, АЗС 17</t>
  </si>
  <si>
    <t>поселение Внуковское, деревня Ликова, улица Центральная, АЗС 16</t>
  </si>
  <si>
    <t>Новозаводская улица, 2б, АГЗС 31</t>
  </si>
  <si>
    <t>1-я улица Энтузиастов, вл3А, АЗС 19</t>
  </si>
  <si>
    <t>улица Семёновский Вал, вл4а, АЗС 20</t>
  </si>
  <si>
    <t>Нижегородская улица, 27б, АЗС 21</t>
  </si>
  <si>
    <t>Южнопортовая улица, 17А</t>
  </si>
  <si>
    <t>Электродный проезд, вл10, АГЗС 185</t>
  </si>
  <si>
    <t>Варшавское шоссе, 89а, АГЗС 81</t>
  </si>
  <si>
    <t>Юрловский проезд, 12, МАЗС 229</t>
  </si>
  <si>
    <t>А101, 35 км, справа, поселение Десеновское, коттеджный поселок Десёновское поселение, мкр.1, АЗС 1</t>
  </si>
  <si>
    <t>А101, 32 км, слева, поселение Десеновское, деревня Десна</t>
  </si>
  <si>
    <t>Волоколамское шоссе, 32, АГЗС 1</t>
  </si>
  <si>
    <t>улица Зенитчиков, 7, МАЗС 9</t>
  </si>
  <si>
    <t>М10, 29 км, слева, Ленинградское шоссе, 309Б, МАЗС 18</t>
  </si>
  <si>
    <t>3-й Угрешский проезд, вл11, МАЗС 21</t>
  </si>
  <si>
    <t>Осташковская улица, 18А</t>
  </si>
  <si>
    <t>Кетчерская улица, вл5</t>
  </si>
  <si>
    <t>улица Сайкина, напротив д.2</t>
  </si>
  <si>
    <t>Рябиновая улица, 67соор1</t>
  </si>
  <si>
    <t>Строительный проезд, 6к1, АЗС 21</t>
  </si>
  <si>
    <t>Походный проезд, 1к1, АЗС13</t>
  </si>
  <si>
    <t>Походный проезд, 12, АЗС 17</t>
  </si>
  <si>
    <t>А101, 43 км, слева, поселение Краснопахорское, село Красная Пахра</t>
  </si>
  <si>
    <t>1950.1191</t>
  </si>
  <si>
    <t>Арфа плюс</t>
  </si>
  <si>
    <t>ОЛА</t>
  </si>
  <si>
    <t>Молси</t>
  </si>
  <si>
    <t>ОПОРА</t>
  </si>
  <si>
    <t>Пискарёвский проспект, 4Ц / Фаэтон</t>
  </si>
  <si>
    <t>проспект Культуры, 3А / Фаэтон</t>
  </si>
  <si>
    <t>проспект Культуры, 33А / Фаэтон</t>
  </si>
  <si>
    <t>дорога на Турухтанные Острова, 10к3с1 / Фаэтон</t>
  </si>
  <si>
    <t>1950.8585</t>
  </si>
  <si>
    <t>1950.8586</t>
  </si>
  <si>
    <t>1950.8589</t>
  </si>
  <si>
    <t>улица Циолковского, 18Я / Фаэтон</t>
  </si>
  <si>
    <t>1950.1111</t>
  </si>
  <si>
    <t>1950.8604</t>
  </si>
  <si>
    <t>Сити ойл</t>
  </si>
  <si>
    <t>Р269, 150 км, слева, Песчанокопский район, село Песчанокопское, АЗС 163 / Газпром</t>
  </si>
  <si>
    <t>1950.8591</t>
  </si>
  <si>
    <t>Корпорация Уралнефть</t>
  </si>
  <si>
    <t>Симферополь, Севастопольская улица, 261 / ТЭС</t>
  </si>
  <si>
    <t>1950.8612</t>
  </si>
  <si>
    <t>улица Барышиха, 4, АЗС 5 / GF</t>
  </si>
  <si>
    <t>1950.8599</t>
  </si>
  <si>
    <t>1950.8600</t>
  </si>
  <si>
    <t>Красногорск, улица Губайлово, 56 / Крас</t>
  </si>
  <si>
    <t>1950.8654</t>
  </si>
  <si>
    <t>1950.8622</t>
  </si>
  <si>
    <t>Балашиха, Железнодорожный, Центральная улица, 25, АЗС 052 / Нефтьмагистраль</t>
  </si>
  <si>
    <t>Севастополь, Лабораторное шоссе, 111 / ТЭС</t>
  </si>
  <si>
    <t>1950.8686</t>
  </si>
  <si>
    <t>Округ</t>
  </si>
  <si>
    <t>Газпромнефть</t>
  </si>
  <si>
    <t>Зеленоград</t>
  </si>
  <si>
    <t>ТиНАО</t>
  </si>
  <si>
    <t>Юг Московской области</t>
  </si>
  <si>
    <t>МО-Ю</t>
  </si>
  <si>
    <t>Юго-Запад Московской области</t>
  </si>
  <si>
    <t>МО-ЮЗ</t>
  </si>
  <si>
    <t>МО-З</t>
  </si>
  <si>
    <t>Запад Московской области</t>
  </si>
  <si>
    <t>Северо-Запад Московской области</t>
  </si>
  <si>
    <t>МО-СЗ</t>
  </si>
  <si>
    <t>Север Московской области</t>
  </si>
  <si>
    <t>МО-С</t>
  </si>
  <si>
    <t>Северо-Восток Московской области</t>
  </si>
  <si>
    <t>МО-СВ</t>
  </si>
  <si>
    <t>Восток Московской области</t>
  </si>
  <si>
    <t>МО-В</t>
  </si>
  <si>
    <t>Юго-Восток Московской области</t>
  </si>
  <si>
    <t>МО-ЮВ</t>
  </si>
  <si>
    <t>М НАФТА</t>
  </si>
  <si>
    <t>Ресурс-А</t>
  </si>
  <si>
    <t>Калужская область</t>
  </si>
  <si>
    <t>Псковская область</t>
  </si>
  <si>
    <t>Смоленская область</t>
  </si>
  <si>
    <t>1950.1185</t>
  </si>
  <si>
    <t>Республика Адыгея</t>
  </si>
  <si>
    <t>1950.894</t>
  </si>
  <si>
    <t>1950.8723</t>
  </si>
  <si>
    <t>Объездное шоссе, 15а / Фаэтон</t>
  </si>
  <si>
    <t>Приморский район, Школьная улица, 100 / Фаэтон</t>
  </si>
  <si>
    <t>улица Савушкина, 110 / Фаэтон</t>
  </si>
  <si>
    <t>Коломяжский проспект, 31 / Фаэтон</t>
  </si>
  <si>
    <t>Петродворцовый район, посёлок Стрельна, Фронтовая улица, 8Б / Фаэтон</t>
  </si>
  <si>
    <t>1950.8623</t>
  </si>
  <si>
    <t>1950.8629</t>
  </si>
  <si>
    <t>1950.8630</t>
  </si>
  <si>
    <t>1950.8631</t>
  </si>
  <si>
    <t>1950.8633</t>
  </si>
  <si>
    <t>Балашиха, Объездное шоссе, 10, АЗС 14 / БТК</t>
  </si>
  <si>
    <t>1950.185</t>
  </si>
  <si>
    <t>улица Садовники, 11Ак1 / АЗС</t>
  </si>
  <si>
    <t>1950.888</t>
  </si>
  <si>
    <t>Волхонское шоссе, 115к5 / Фаэтон</t>
  </si>
  <si>
    <t>1950.8627</t>
  </si>
  <si>
    <t>М7, 36 км, справа, Ногинский район, Старая Купавна, Магистральная улица, 8, АЗС 048 / Нефтьмагистраль</t>
  </si>
  <si>
    <t>1950.181</t>
  </si>
  <si>
    <t>Ялта, посёлок городского типа Гурзуф, Гурзуфское шоссе, АЗС 57 / Татнефть</t>
  </si>
  <si>
    <t>1950.1226</t>
  </si>
  <si>
    <t>Новошахтинск, улица Налбандяна, 2е, АЗС 152 / Газпром</t>
  </si>
  <si>
    <t>1950.833</t>
  </si>
  <si>
    <t>М7, 57 км, слева, Ногинский район, АЗС 047 / Нефтьмагистраль</t>
  </si>
  <si>
    <t>1950.183</t>
  </si>
  <si>
    <t>Азовский район, хутор Степнянский, улица Гагарина, 1а, АЗС 231 / Газпром</t>
  </si>
  <si>
    <t>1950.8746</t>
  </si>
  <si>
    <t>М4, 1178 км, слева, Крыловский район, станица Октябрьская, АЗС 145 / Газпром</t>
  </si>
  <si>
    <t>1950.8748</t>
  </si>
  <si>
    <t>1950.8771</t>
  </si>
  <si>
    <t>Мирком</t>
  </si>
  <si>
    <t>М7, 42 км, слева, Ногинский район, поселок городского типа Обухово</t>
  </si>
  <si>
    <t>1950.125</t>
  </si>
  <si>
    <t>Щёлковский район, Щёлково, Фряновское шоссе, АЗС 053</t>
  </si>
  <si>
    <t>1950.8687</t>
  </si>
  <si>
    <t xml:space="preserve"> </t>
  </si>
  <si>
    <t>1950.180</t>
  </si>
  <si>
    <t>М7, 31 км, справа, Ногинский район, АЗС 044 / Нефтьмагистраль</t>
  </si>
  <si>
    <t>Центральный Административный Округ (ЦАО) города Москвы</t>
  </si>
  <si>
    <t>Южный Административный Округ (ЮАО) города Москвы</t>
  </si>
  <si>
    <t>Юго-Западный Административный Округ (ЮЗАО) города Москвы</t>
  </si>
  <si>
    <t>Западный Административный Округ (ЗАО) города Москвы</t>
  </si>
  <si>
    <t>Северо-Западный Административный Округ (СЗАО) города Москвы</t>
  </si>
  <si>
    <t>Северный Административный Округ (САО) города Москвы</t>
  </si>
  <si>
    <t>Северо-Восточный Административный Округ (СВАО) города Москвы</t>
  </si>
  <si>
    <t>Восточный Административный Округ (ВАО) города Москвы</t>
  </si>
  <si>
    <t>Юго-Восточный Административный Округ (ЮВАО) города Москвы</t>
  </si>
  <si>
    <t>Зеленоградский Административный Округ (ЗАО) города Москвы</t>
  </si>
  <si>
    <t>Троицкий и Новомосковский Административный Округ (ТиНАО) города Москвы</t>
  </si>
  <si>
    <t>1950.1172</t>
  </si>
  <si>
    <t>МКАД, 51 км, справа, АГНКС 26 / Нефтьмагистраль</t>
  </si>
  <si>
    <t>АГАТ-Л</t>
  </si>
  <si>
    <t>1950.8813</t>
  </si>
  <si>
    <t>Влакоми</t>
  </si>
  <si>
    <t>Сиреневый бульвар, 87</t>
  </si>
  <si>
    <t>1950.176</t>
  </si>
  <si>
    <t>М7, 185 км, справа, Владимир, улица Куйбышева, 20, АЗС 185 км</t>
  </si>
  <si>
    <t>Шахты, Свободная улица, 43, АЗС 23</t>
  </si>
  <si>
    <t>Миллеровский район, Миллерово, Московская улица, 177, АЗС 34</t>
  </si>
  <si>
    <t>Ростов-на-Дону, Змиевский проезд, 7, АГЗС 5</t>
  </si>
  <si>
    <t>Октябрьский район, поселок Красногорняцкий, Центральная улица, 22, АЗС 16</t>
  </si>
  <si>
    <t>Шахты, переулок Полетаева, АЗС 21</t>
  </si>
  <si>
    <t>Белокалитвинский район, поселок Шолоховский, улица Горького, 1, АЗС 32</t>
  </si>
  <si>
    <t>Аксайский район, Аксай, проспект Ленина, 45, АГЗС 3</t>
  </si>
  <si>
    <t>Ростов-на-Дону, микрорайон Северный, улица Беляева, 1, АГЗС 4</t>
  </si>
  <si>
    <t>М4, 1049 км, справа, Аксайский район, поселок Рассвет, АГЗС 6</t>
  </si>
  <si>
    <t>Аксайский район, поселок Дорожный, трасса Ольгинская - Волгодонск, 1 км, слева, АГЗС 8</t>
  </si>
  <si>
    <t>Веселовский район, поселок Весёлый, Октябрьская улица, 2к11, АГЗС 15</t>
  </si>
  <si>
    <t>Морозовский район, Морозовск, улица Ворошилова, 223, АЗС 37</t>
  </si>
  <si>
    <t>Красносулинский район, Красный Сулин, улица 50 лет Октября, АЗС 41</t>
  </si>
  <si>
    <t>Новошахтинск, Вокзальная улица, 57, АЗС 45</t>
  </si>
  <si>
    <t>М4, 861 км, слева, Миллеровский район, балка Карпов Яр, АЗС 14</t>
  </si>
  <si>
    <t>Миллеровский район, Миллерово, улица 50 лет ВЛКСМ, 17а, АЗС 15</t>
  </si>
  <si>
    <t>Каменск-Шахтинский, улица Героев-Пионеров, 16а, АЗС 25</t>
  </si>
  <si>
    <t>Гуково, улица Ковалёва, 80, АЗС 30</t>
  </si>
  <si>
    <t>Донецк, улица Королёва, 26, АЗС 31</t>
  </si>
  <si>
    <t>Азовский район, село Кугей, трасса Азов-Александровка-Староминская, 34 км, справа, АЗС №20</t>
  </si>
  <si>
    <t>1950.182</t>
  </si>
  <si>
    <t>М7, 44 км, справа, Ногинский район, АЗС 046 / Нефтьмагистраль</t>
  </si>
  <si>
    <t>1950.1052</t>
  </si>
  <si>
    <t>М7, 178 км, слева, Владимир, Московское шоссе, 4 / SunPetrol</t>
  </si>
  <si>
    <t>1950.492</t>
  </si>
  <si>
    <t>М4, 1160 км, слева, Кущевский район, АГЗС 14 / Прогрес</t>
  </si>
  <si>
    <t>1950.184</t>
  </si>
  <si>
    <t>Балашиха, шоссе Энтузиастов, 82, АЗС 050 / Нефтьмагистраль</t>
  </si>
  <si>
    <t>1950.8830</t>
  </si>
  <si>
    <t>1950.8831</t>
  </si>
  <si>
    <t>1950.8832</t>
  </si>
  <si>
    <t>М2, 37 км, справа, Подольск, село Покров, АЗС 045 / Нефтьмагистраль</t>
  </si>
  <si>
    <t>Подольск, посёлок Сосновый Бор, Южный обход Подольска, АЗС 043 / Нефтьмагистраль</t>
  </si>
  <si>
    <t>Каширское, 25 км, слева, Ленинский район, Видное, АЗС 051 / Нефтьмагистраль</t>
  </si>
  <si>
    <t>Р269, 66 км, справа, Зерноградский район, станица Мечётинская, АЗС 161 / Газпром</t>
  </si>
  <si>
    <t>1950.8821</t>
  </si>
  <si>
    <t>Сибур</t>
  </si>
  <si>
    <t>1950.8920</t>
  </si>
  <si>
    <t>Кашира, деревня Знаменское, трасса Р-115 (Кашира - Коломна) / IP</t>
  </si>
  <si>
    <t>1950.8924</t>
  </si>
  <si>
    <t>М4, 1109 км, слева, Азовский район, село Самарское, АЗС 174 / Газпром</t>
  </si>
  <si>
    <t>1950.8902</t>
  </si>
  <si>
    <t>Р268, 1 км, справа, Азовский район, АЗС 180 / Газпром</t>
  </si>
  <si>
    <t>Р268, 1 км, слева, Азовский район, АЗС 181 / Газпром</t>
  </si>
  <si>
    <t>1950.8823</t>
  </si>
  <si>
    <t>1950.8824</t>
  </si>
  <si>
    <t>Бензолюкс</t>
  </si>
  <si>
    <t>Загорьевский проезд, вл12 / ОйлШоп</t>
  </si>
  <si>
    <t>1950.165</t>
  </si>
  <si>
    <t>1950.670</t>
  </si>
  <si>
    <t>1950.8961</t>
  </si>
  <si>
    <t>1950.890</t>
  </si>
  <si>
    <t>Балаклавский проспект, вл11 / ТСК МАКС</t>
  </si>
  <si>
    <t>1950.8814</t>
  </si>
  <si>
    <t>А108, справа, Руза, Социалистическая улица, 74 / АЗС</t>
  </si>
  <si>
    <t>А108, слева, Воскресенский район, село Барановское, МАЗК Барановское / Лукойл</t>
  </si>
  <si>
    <t>1950.8918</t>
  </si>
  <si>
    <t>1950.721</t>
  </si>
  <si>
    <t>М4, 725 км, справа, Богучарский район, АЗС 126 / Газпром</t>
  </si>
  <si>
    <t>М4, 825 км, справа, Миллеровский район, хутор Грай-Воронец, АЗС 166 / Газпром</t>
  </si>
  <si>
    <t>1950.734</t>
  </si>
  <si>
    <t>1950.736</t>
  </si>
  <si>
    <t>М4, 1010 км, справа, Октябрьский район, АЗС 230 / Газпром</t>
  </si>
  <si>
    <t>Волоколамское шоссе, 132 / АЗС</t>
  </si>
  <si>
    <t>1950.8989</t>
  </si>
  <si>
    <t>1950.693</t>
  </si>
  <si>
    <t>Нижегородская улица, 99, АЗС 22 / Нефтьмагистраль</t>
  </si>
  <si>
    <t>Волга-Ресурс-Трейд</t>
  </si>
  <si>
    <t>1950.700</t>
  </si>
  <si>
    <t>Электросталь, Северная улица, 3, АЗС 02 / Нефтьмагистраль</t>
  </si>
  <si>
    <t>Коломенский район, деревня Сычёво, Акатьевское шоссе / Моснефть 105</t>
  </si>
  <si>
    <t>1950.1183</t>
  </si>
  <si>
    <t>Волга-Ресур-Трейд</t>
  </si>
  <si>
    <t>Черноголовка, Центральная улица, 25, АЗС 5 / АЗС</t>
  </si>
  <si>
    <t>1950.9015</t>
  </si>
  <si>
    <t>Альфа</t>
  </si>
  <si>
    <t>Кашира, Путейская улица, 22 / IP</t>
  </si>
  <si>
    <t>1950.8913</t>
  </si>
  <si>
    <t>1950.8914</t>
  </si>
  <si>
    <t>ЖДТ-Сервис</t>
  </si>
  <si>
    <t>1950.9010</t>
  </si>
  <si>
    <t>Дзержинский, улица Энергетиков, 10А / АЗС</t>
  </si>
  <si>
    <t>Р22, 631 км, справа, Поворинский район, село Рождественское, улица Крупской, 1а, АЗС 301 / Газпром</t>
  </si>
  <si>
    <t>1950.8982</t>
  </si>
  <si>
    <t>Р22, 584 км, слева, Грибановский район, село Алексеевка, улица Проезжая, 1, АЗС 302 / Газпром</t>
  </si>
  <si>
    <t>1950.8983</t>
  </si>
  <si>
    <t>1950.1157</t>
  </si>
  <si>
    <t>Р111, 13 км, слева, Солнечногорский район, деревня Юрлово / АЗС</t>
  </si>
  <si>
    <t>Газолайн стейшн плюс</t>
  </si>
  <si>
    <t>1950.195</t>
  </si>
  <si>
    <t>Таганрог, улица Москатова, 20, АЗС 394 / Газпром</t>
  </si>
  <si>
    <t>1950.9014</t>
  </si>
  <si>
    <t>1950.8590</t>
  </si>
  <si>
    <t>Колпинский район, Колпино, улица Культуры, 19а / Фаэтон</t>
  </si>
  <si>
    <t>1950.9013</t>
  </si>
  <si>
    <t>Новошахтинск, Харьковская улица, 32, АЗС 170 / Газпром</t>
  </si>
  <si>
    <t>1950.1097</t>
  </si>
  <si>
    <t>Истринский район, Дедовск, улица имени Николая Курочкина, 3, АЗС Ф2 / GF</t>
  </si>
  <si>
    <t>1950.8976</t>
  </si>
  <si>
    <t>Р217, 161 км, слева, Армавир, АЗС 343 / Газпром</t>
  </si>
  <si>
    <t>Республика Северная Осетия-Алания</t>
  </si>
  <si>
    <t>№ эмитента 
/ ТО</t>
  </si>
  <si>
    <t>1950.8977</t>
  </si>
  <si>
    <t>Волгоградская область</t>
  </si>
  <si>
    <t>1950.8981</t>
  </si>
  <si>
    <t>1950.1039</t>
  </si>
  <si>
    <t>1950.146</t>
  </si>
  <si>
    <t>Кинешма, Вичугская улица, АЗК 1</t>
  </si>
  <si>
    <t>Ярославль, Ленинградский проспект, 35а, АЗС Ленинградский</t>
  </si>
  <si>
    <t>Gt Oil</t>
  </si>
  <si>
    <t>Серпуховский район, поселок Пограничный / Gt Oil</t>
  </si>
  <si>
    <t>1950.9029</t>
  </si>
  <si>
    <t>1950.9030</t>
  </si>
  <si>
    <t>Наро-Фоминск, Московская улица, 40 / Gt Oil</t>
  </si>
  <si>
    <t>1950.9031</t>
  </si>
  <si>
    <t>Новомосковск, улица Маяковского, 20Б / Gt Oil</t>
  </si>
  <si>
    <t>Гейн Ойл Трейдинг</t>
  </si>
  <si>
    <t>1950.9035</t>
  </si>
  <si>
    <t>Ликино-Дулёво, Ленинский переулок, 70, АЗС 414 / АЗС</t>
  </si>
  <si>
    <t>1950.1184</t>
  </si>
  <si>
    <t>Коломна, улица Девичье Поле, 14 / АЗС</t>
  </si>
  <si>
    <t>1950.8457</t>
  </si>
  <si>
    <t>Юрьевецкий район, деревня Ямская, АЗС 12 / АЗС</t>
  </si>
  <si>
    <t>1950.9038</t>
  </si>
  <si>
    <t>Дмитровское шоссе, 163, МАЗС 14 / Нефтьмагистраль</t>
  </si>
  <si>
    <t>1950.951</t>
  </si>
  <si>
    <t>Щёлковский район, Щёлково, Браварская улица, вл1, АЗС 19 / GF</t>
  </si>
  <si>
    <t>1950.718</t>
  </si>
  <si>
    <t>М4, 446 км, справа, Хлевенский район, поселок Елецкое Маланино, АЗС 101 / Газпром</t>
  </si>
  <si>
    <t>1950.8923</t>
  </si>
  <si>
    <t>1950.9039</t>
  </si>
  <si>
    <t>М7, 20 км, слева, Балашиха, АГНКС 027 / Нефтьмагистраль</t>
  </si>
  <si>
    <t>1950.488</t>
  </si>
  <si>
    <t>Ростов-на-Дону, поселок Чкаловский, улица Штахановского, 27, АГЗС 7 / Прогресс</t>
  </si>
  <si>
    <t>Кольчугинский район, Кольчугино, на въезде в город со стороны г. Александров / SunPetrol</t>
  </si>
  <si>
    <t>1950.607</t>
  </si>
  <si>
    <t>Ивантеевка, Заводская улица, АЗС 20 / NPS</t>
  </si>
  <si>
    <t>1950.1194</t>
  </si>
  <si>
    <t>А104, 38 км, слева, Мытищинский район, деревня Троице-Сельцо, АЗС 064 / Нефтьмагистра</t>
  </si>
  <si>
    <t>1950.226</t>
  </si>
  <si>
    <t>Луховицы, поселок городского типа Белоомут, Большая Огарёвская улица, 60а / АЗС</t>
  </si>
  <si>
    <t>1950.9050</t>
  </si>
  <si>
    <t>АЗС М5</t>
  </si>
  <si>
    <t>1950.809</t>
  </si>
  <si>
    <t>М5, 1804 км, слева, Чебаркульский район, село Пустозерово / АЗС</t>
  </si>
  <si>
    <t>1950.9053</t>
  </si>
  <si>
    <t>А146, 49 км, слева, Северский район, станица Северская, АЗС 225 / Газпром</t>
  </si>
  <si>
    <t>Владимир, Московское шоссе, 12, АЗС 6 / City Oil</t>
  </si>
  <si>
    <t>Владимир, улица Мира, 11, АЗС 8 / City Oil</t>
  </si>
  <si>
    <t>1950.575</t>
  </si>
  <si>
    <t>1950.577</t>
  </si>
  <si>
    <t>1950.930</t>
  </si>
  <si>
    <t>М5, 134 км, справа, Луховицкий район, Луховицы, улица Куйбышева, 446, МАЗС 19 / Интеройл</t>
  </si>
  <si>
    <t>1950.491</t>
  </si>
  <si>
    <t>Новочеркасск, улица Ростовский Выезд, 20, АГЗС 11 / Прогресс</t>
  </si>
  <si>
    <t>1950.572</t>
  </si>
  <si>
    <t>Владимир, Красносельская улица, 67, АЗС 3 / City Oil</t>
  </si>
  <si>
    <t>1950.717</t>
  </si>
  <si>
    <t>М4, 562 км, слева, Каширский район, АЗС 300 / Газпром</t>
  </si>
  <si>
    <t>1950.1202</t>
  </si>
  <si>
    <t>М4, 945 км, слева, Красносулинский район, МТЗК 159 / Газпром</t>
  </si>
  <si>
    <t>1950.8626</t>
  </si>
  <si>
    <t>Пулковское шоссе, 120к2 / Фаэтон</t>
  </si>
  <si>
    <t>ИП Рогожников</t>
  </si>
  <si>
    <t>ГТО</t>
  </si>
  <si>
    <t>1950.9036</t>
  </si>
  <si>
    <t>Брянская область</t>
  </si>
  <si>
    <t>1950.8921</t>
  </si>
  <si>
    <t>Ступино, улица Ситенка, Каширское шоссе, 103 км, слева / Лукойл</t>
  </si>
  <si>
    <t>1950.8904</t>
  </si>
  <si>
    <t>Ориола</t>
  </si>
  <si>
    <t>Владимир, улица Куйбышева, 30а, АЗС 12 / City Oil</t>
  </si>
  <si>
    <t>1950.580</t>
  </si>
  <si>
    <t>Истра, село Дарна / Gt Oil</t>
  </si>
  <si>
    <t>1950.9070</t>
  </si>
  <si>
    <t>1950.663</t>
  </si>
  <si>
    <t>набережная Ганнушкина, вл1, АЗС 13 / Нефтьмагистраль</t>
  </si>
  <si>
    <t>Комплекс-Юг</t>
  </si>
  <si>
    <t>1950.9077</t>
  </si>
  <si>
    <t>М4, 28 км, справа, Ленинский район, деревня Калиновка / Татнефть</t>
  </si>
  <si>
    <t>Балашиха, Железнодорожный, Носовихинское шоссе, 54, АЗС 14 / GF</t>
  </si>
  <si>
    <t>1950.615</t>
  </si>
  <si>
    <t>1950.8980</t>
  </si>
  <si>
    <t>1950.612</t>
  </si>
  <si>
    <t>М7, 75 км, справа, Павлово-Посадский район, АЗС 4 / GF</t>
  </si>
  <si>
    <t>1950.239</t>
  </si>
  <si>
    <t>Р21, 716 км, справа, Сегежский район</t>
  </si>
  <si>
    <t>1950.569</t>
  </si>
  <si>
    <t>Трасса Ойл</t>
  </si>
  <si>
    <t>1950.912</t>
  </si>
  <si>
    <t>Р109, 29 км, слева, Ногинский район, деревня Белая, МАЗС 7 / Интеройл</t>
  </si>
  <si>
    <t>1950.133</t>
  </si>
  <si>
    <t>Ярославль, улица Бабича, 3б, АЗС 3 / Ярославская ТК</t>
  </si>
  <si>
    <t>1950.8915</t>
  </si>
  <si>
    <t>1950.8749</t>
  </si>
  <si>
    <t>М4, 1215 км, слева, Павловский район, станица Старолеушковская, АЗС 191 / Газпром</t>
  </si>
  <si>
    <t>1950.450</t>
  </si>
  <si>
    <t>Р268, справа, Староминский район, АЗС 21 / Прогресс</t>
  </si>
  <si>
    <t>1950.929</t>
  </si>
  <si>
    <t>А107, 15 км, слева, поселение Щаповское, деревня Овечкино, (ориентир км от М2), АЗС 24 / Нефтьмагистраль</t>
  </si>
  <si>
    <t>1950.678</t>
  </si>
  <si>
    <t>1950.997</t>
  </si>
  <si>
    <t>Пластовский район, Пласт, улица Работницы, 32, район автовокзала / EkoPower</t>
  </si>
  <si>
    <t>1950.192</t>
  </si>
  <si>
    <t>М10, 48 км, слева, Солнечногорский район, деревня Берсеневка / АЗС</t>
  </si>
  <si>
    <t>1950.9703</t>
  </si>
  <si>
    <t>Бахчисарайский район, село Железнодорожное, улица Дружбы, 45 / ТЭС</t>
  </si>
  <si>
    <t>ИРБИС</t>
  </si>
  <si>
    <t>М4, 907 км, справа, Каменский район, поселок Глубокий, Переездный переулок,41, АЗС 20</t>
  </si>
  <si>
    <t>1950.459</t>
  </si>
  <si>
    <t>1950.170</t>
  </si>
  <si>
    <t>МКАД, 52 км, справа, вл4 / ОйлШоп</t>
  </si>
  <si>
    <t>1950.9707</t>
  </si>
  <si>
    <t>Калуга, Зерновая улица, 26, АЗС 252 / Газпром</t>
  </si>
  <si>
    <t>Республика Башкортостан</t>
  </si>
  <si>
    <t>1950.1109</t>
  </si>
  <si>
    <t>улица Возрождения, 36А / Аэро</t>
  </si>
  <si>
    <t>1950.1035</t>
  </si>
  <si>
    <t>1950.634</t>
  </si>
  <si>
    <t>М5, 180 км, слева, Рязанский район, АЗС 7 / Змей Горыныч</t>
  </si>
  <si>
    <t>1950.8950</t>
  </si>
  <si>
    <t>улица Адмирала Корнилова</t>
  </si>
  <si>
    <t>1950.9713</t>
  </si>
  <si>
    <t>Стерлитамак, микрорайон Южный, улица Суханова, 9А, АЗС 73 / Газпром</t>
  </si>
  <si>
    <t>1950.807</t>
  </si>
  <si>
    <t>МКАД, 39 км, слева, поселение Сосенское, АЗС 4 / Эверон</t>
  </si>
  <si>
    <t>Красногвардейский район, поселок городского типа Красногвардейское, 35А-002 (Харьков-Симферополь), 590 км, справа / ТЭС</t>
  </si>
  <si>
    <t>1950.1060</t>
  </si>
  <si>
    <t>1950.9714</t>
  </si>
  <si>
    <t>Салават, Зелёная улица, 9, ТЗК 74 / Газпром</t>
  </si>
  <si>
    <t>Р73, 30 км, слева, Судогодский район, деревня Веригино, АЗС 7 / City Oil</t>
  </si>
  <si>
    <t>1950.576</t>
  </si>
  <si>
    <t>1950.891</t>
  </si>
  <si>
    <t>М5, слева, Люберецкий район, поселок городского типа Октябрьский, улица Ленина, 49 / ТСК МАКС</t>
  </si>
  <si>
    <t>1950.9726</t>
  </si>
  <si>
    <t>Подольск, Варшавское шоссе, справа, вблизи д. Троицкое, АЗС 33 / Нефтьмагистраль</t>
  </si>
  <si>
    <t>1950.1110</t>
  </si>
  <si>
    <t>набережная реки Пряжки, 7А / Аэро</t>
  </si>
  <si>
    <t>1950.665</t>
  </si>
  <si>
    <t>1950.9730</t>
  </si>
  <si>
    <t>М4, 1193 км, справа, Павловский район, станица Павловская, АЗС 202 / Газпром</t>
  </si>
  <si>
    <t>1950.8825</t>
  </si>
  <si>
    <t>1950.8592</t>
  </si>
  <si>
    <t>М7, 129 км, справа, Петушинский район, АЗС 441 / Газпром</t>
  </si>
  <si>
    <t>1950.1167</t>
  </si>
  <si>
    <t>проезд Черепановых, 24ас1</t>
  </si>
  <si>
    <t>1950.1227</t>
  </si>
  <si>
    <t>Севастополь, проезд Белкина, 1, АЗС 1 / Татнефть</t>
  </si>
  <si>
    <t>КОЛА 44</t>
  </si>
  <si>
    <t>Гермес</t>
  </si>
  <si>
    <t>Петрол-Эко</t>
  </si>
  <si>
    <t>Сувар</t>
  </si>
  <si>
    <t>ТК Эром</t>
  </si>
  <si>
    <t>1950.645</t>
  </si>
  <si>
    <t>Даниловская набережная, 8Б, АЗС 25 / Нефтьмагистраль</t>
  </si>
  <si>
    <t>1950.1074</t>
  </si>
  <si>
    <t>Р153, 69 км, справа, Борисоглебский район, поселок городского типа Борисоглебский, Транспортная улица / ЯрТА</t>
  </si>
  <si>
    <t>Милютинский район, станица Селивановская, улица Южная, 4, АЗС 33 / Прогресс</t>
  </si>
  <si>
    <t>1950.471</t>
  </si>
  <si>
    <t>1950.720</t>
  </si>
  <si>
    <t>М4, 994 км, слева, Шахты, поселок Аютинский, АЗС 172 / Газпром</t>
  </si>
  <si>
    <t>1950.8750</t>
  </si>
  <si>
    <t>М4, 1247 км, справа, Выселковский район, станица Березанская, АЗС 198 / Газпром</t>
  </si>
  <si>
    <t>1950.9788</t>
  </si>
  <si>
    <t>1950.9789</t>
  </si>
  <si>
    <t>Лобня, улица Гагарина, 2а, АЗС 14 / ИТК</t>
  </si>
  <si>
    <t>Лобня, Шереметьевская улица, 3, АЗС 12 / ИТК</t>
  </si>
  <si>
    <t>1950.1201</t>
  </si>
  <si>
    <t>Симферополь, Объездная дорога, 6, АЗС 21 / Татнефть</t>
  </si>
  <si>
    <t>1950.724</t>
  </si>
  <si>
    <t>М4, справа, Азовский район, хутор Степнянский, улица Гагарина, 1б, АЗС 232 / Газпром</t>
  </si>
  <si>
    <t>1950.739</t>
  </si>
  <si>
    <t>М27, 7 км, справа, Туапсинский район, поселок городского типа Джубга, Новороссийское шоссе, 114к1, АЗС 189 / Газпром</t>
  </si>
  <si>
    <t>Воронеж, улица Брусилова, 4А, АЗС Брусилова / ВТК</t>
  </si>
  <si>
    <t>1950.566</t>
  </si>
  <si>
    <t>М7, 178 км, слева, Владимир, Московское шоссе, 4</t>
  </si>
  <si>
    <t>Волгоград, Социалистическая улица, 41</t>
  </si>
  <si>
    <t>Волгоград, Лазоревая улица, 127А, АЗС 270</t>
  </si>
  <si>
    <t>Волгоград, Лазоревая улица, 163г, АЗС 314</t>
  </si>
  <si>
    <t>1950.108</t>
  </si>
  <si>
    <t>1950.513</t>
  </si>
  <si>
    <t>Валдайский район, Валдай, проспект Васильева, 98с1, АЗС 5</t>
  </si>
  <si>
    <t>Р295, слева, Владикавказ, поселок городского типа Заводской, улица Полевая, 1, АЗС 5 Архонка</t>
  </si>
  <si>
    <t>М7, 808 км, слева, Казань, поселок Щербаково</t>
  </si>
  <si>
    <t>М7, 774 км, слева, Верхнеуслонский район, поселок Пятидворка</t>
  </si>
  <si>
    <t>М7, 788 км, справа, Зеленодольский район, село Новая Тура</t>
  </si>
  <si>
    <t>Ростов-на-Дону, Нефтяной переулок, 6, АЗС 31</t>
  </si>
  <si>
    <t>Аксайский район, поселок Дорожный, трасса Ольгинская - Волгодонск, 1 км, слева, АЗС 4</t>
  </si>
  <si>
    <t>Зерноградский район, Зерноград, переулок Кольцовский, 53, АЗС 43</t>
  </si>
  <si>
    <t>Аксайский район, Аксай, проспект Ленина, 45, АЗС 9</t>
  </si>
  <si>
    <t>Ростов-на-Дону, проспект Шолохова, 284а, АЗС 5</t>
  </si>
  <si>
    <t>Ростов-на-Дону, улица Малиновского, 65, АЗС 6</t>
  </si>
  <si>
    <t>Ростов-на-Дону, улица Нансена, 146, АЗС 12</t>
  </si>
  <si>
    <t>Ростов-на-Дону, 1 км ад Ростов - АО Темерницкое, АЗС №17</t>
  </si>
  <si>
    <t>Ростов-на-Дону, Змиевский проезд, 7, АЗС 44</t>
  </si>
  <si>
    <t>Волгодонск, Гаражная улица, 8, АЗС 18</t>
  </si>
  <si>
    <t>М4, 1049 км, справа, Аксайский район, поселок Рассвет, АЗС 6</t>
  </si>
  <si>
    <t>Р217, 337 км, слева, Минераловодский городской округ, село Канглы, АЗС 9</t>
  </si>
  <si>
    <t>А167, слева, Георгиевский городской округ, станица Подгорная, Шоссейный переулок, 2б, АЗС 5</t>
  </si>
  <si>
    <t>1950.8978</t>
  </si>
  <si>
    <t>1950.9975</t>
  </si>
  <si>
    <t>Солнечногорск, рабочий посёлок Менделеево, Льяловское шоссе / АЗС</t>
  </si>
  <si>
    <t>АИ-98/100</t>
  </si>
  <si>
    <t>1950.7819</t>
  </si>
  <si>
    <t>1950.565</t>
  </si>
  <si>
    <t>Воронеж, Холмистая улица, 66, АЗС Холмистая / ВТК</t>
  </si>
  <si>
    <t>1950.406</t>
  </si>
  <si>
    <t>Софийская улица, 85 / Фаэтон</t>
  </si>
  <si>
    <t>1950.571</t>
  </si>
  <si>
    <t>Владимир, Толмачевская улица, 8 / City Oil</t>
  </si>
  <si>
    <t>1950.8624</t>
  </si>
  <si>
    <t>Витебский проспект, 47б / Фаэтон</t>
  </si>
  <si>
    <t>А107, 7 км, слева, Наро-Фоминский район, деревня Жёдочи, (ориентир км от М3), МАЗС 22 / Интеройл</t>
  </si>
  <si>
    <t>1950.937</t>
  </si>
  <si>
    <t>1950.1114</t>
  </si>
  <si>
    <t>Воронеж, Московский проспект, 86Б, АЗС Рай / ВТК</t>
  </si>
  <si>
    <t>Керченский городской совет, Керчь, шоссе Героев Сталинграда, 1 / АТАН</t>
  </si>
  <si>
    <t>1950.710</t>
  </si>
  <si>
    <t>1950.689</t>
  </si>
  <si>
    <t>Канатчиковский проезд, вл5, АЗС 18 / Нефтьмагистраль</t>
  </si>
  <si>
    <t>1950.936</t>
  </si>
  <si>
    <t>МКАД, 43 км, справа, АГЗС 3 / Интеройл</t>
  </si>
  <si>
    <t>1950.9998</t>
  </si>
  <si>
    <t>1950.9999</t>
  </si>
  <si>
    <t>Подольск, улица Правды, 34, АЗС 7 Подольск / MMK Petrol</t>
  </si>
  <si>
    <t>Чехов, поселок Любучаны,а/д дер. Дмитровка - пос. Любучаны, 250 м., справа / MMK Petrol</t>
  </si>
  <si>
    <t>1950.999</t>
  </si>
  <si>
    <t>Усть-Катав, улица Строителей, 3а / EkoPower</t>
  </si>
  <si>
    <t>1950.7824</t>
  </si>
  <si>
    <t>Красноперекопск, Таврическая улица, 2В / АТАН</t>
  </si>
  <si>
    <t>1950.8628</t>
  </si>
  <si>
    <t>Земледельческая улица, 5А / Фаэтон</t>
  </si>
  <si>
    <t>1950.901</t>
  </si>
  <si>
    <t>Чебаркульский район, село Кундравы, переулок Миасский, 2, АЗС 13 / Vintek</t>
  </si>
  <si>
    <t>1950.169</t>
  </si>
  <si>
    <t>Чечерский проезд, вл9 / ОйлШоп</t>
  </si>
  <si>
    <t>1950.1045</t>
  </si>
  <si>
    <t>Верхнеуральский район, поселок Сухтелинский, ул. Дорожная, 3, трасса Южноуральск - Магнитогорск, 109 км, слева / АЗС</t>
  </si>
  <si>
    <t>1950.8588</t>
  </si>
  <si>
    <t>Верхняя улица, 10а / Фаэтон</t>
  </si>
  <si>
    <t>1950.8747</t>
  </si>
  <si>
    <t>М4, 1274 км, справа, Кореновский район, поселок Малеваный, АЗС 224 / Газпром</t>
  </si>
  <si>
    <t>1950.232</t>
  </si>
  <si>
    <t>М2, 380 км, слева, Орловский район, поселок городского типа Знаменка / АЗС</t>
  </si>
  <si>
    <t>1950.8459</t>
  </si>
  <si>
    <t>1950.9992</t>
  </si>
  <si>
    <t>МКАД, 53 км, справа, дом 6бс1, АЗС МКАД 53 км / MMK Petrol</t>
  </si>
  <si>
    <t>1950.950</t>
  </si>
  <si>
    <t>М7, 788 км, слева, Зеленодольский район, село Новая Тура / Магистраль</t>
  </si>
  <si>
    <t>1950.9991</t>
  </si>
  <si>
    <t>МКАД, 33 км, справа, АЗС 33 км МКАД / MMK Petrol</t>
  </si>
  <si>
    <t>1950.9993</t>
  </si>
  <si>
    <t>Пятницкое шоссе, 2, АЗС Митино / MMK Petrol</t>
  </si>
  <si>
    <t>1950.10015</t>
  </si>
  <si>
    <t>проспект Андропова, 51 / MMK Petrol</t>
  </si>
  <si>
    <t>СТРОЙТЕХНОЛОДЖИ</t>
  </si>
  <si>
    <t>Восток</t>
  </si>
  <si>
    <t>1950.9981</t>
  </si>
  <si>
    <t>1950.9982</t>
  </si>
  <si>
    <t>Люберцы, улица 8 Марта, 54 / АЗС</t>
  </si>
  <si>
    <t>Люберцы, Юбилейная улица, 8А / АЗС</t>
  </si>
  <si>
    <t>1950.9985</t>
  </si>
  <si>
    <t>Воскресенский район, Воскресенск, микрорайон Лопатинский, улица Роз, 1А / Неотек</t>
  </si>
  <si>
    <t>1950.9983</t>
  </si>
  <si>
    <t>1950.9984</t>
  </si>
  <si>
    <t>Электросталь, Красная улица, 13 / АЗС</t>
  </si>
  <si>
    <t>Ногинск, в районе СНТ Клубничка, трасса Ногинск-Боровково-Стромынь, 6 км, справа / АЗС</t>
  </si>
  <si>
    <t>1950.10016</t>
  </si>
  <si>
    <t>М4, 1385 км, слева, Горячий Ключ, АЗС 205 / Газпром</t>
  </si>
  <si>
    <t>1950.573</t>
  </si>
  <si>
    <t>Владимир, улица 16 лет Октября, 2в, АЗС 4 / City Oil</t>
  </si>
  <si>
    <t>Пензенская область</t>
  </si>
  <si>
    <t>А113, 22 км, справа, Ярославский район, деревня Воробино, АЗС 12 / Ярославская ТК</t>
  </si>
  <si>
    <t>1950.142</t>
  </si>
  <si>
    <t>1950.797</t>
  </si>
  <si>
    <t>1950.9712</t>
  </si>
  <si>
    <t>Тула, Московское шоссе, 2В, АЗС 374 / Газпром</t>
  </si>
  <si>
    <t>Дорсервис-7</t>
  </si>
  <si>
    <t>1950.10041</t>
  </si>
  <si>
    <t>Р105, 86 км, справа, Егорьевск, строение 2 / АЗС</t>
  </si>
  <si>
    <t>ПРОМСТРОЙ</t>
  </si>
  <si>
    <t>1950.10020</t>
  </si>
  <si>
    <t>1950.1240</t>
  </si>
  <si>
    <t>1950.10019</t>
  </si>
  <si>
    <t>Кольчугинский район, Кольчугино, Владимирская улица, 7 / АЗС</t>
  </si>
  <si>
    <t>1950.733</t>
  </si>
  <si>
    <t>М4, 825 км, слева, Миллеровский район, хутор Грай-Воронец, АЗС 167 / Газпром</t>
  </si>
  <si>
    <t>1950.9996</t>
  </si>
  <si>
    <t>Муром, Меленковское шоссе, 9а, АЗС Муром-2 / SunPetrol</t>
  </si>
  <si>
    <t>1950.1242</t>
  </si>
  <si>
    <t>ИП Капелюк</t>
  </si>
  <si>
    <t>Мытищи, Олимпийский проспект, вл39с1 / АЗС</t>
  </si>
  <si>
    <t>1950.1244</t>
  </si>
  <si>
    <t>А107, слева, Солнечногорский район, деревня Литвиново / АЗС</t>
  </si>
  <si>
    <t>СБС-XXI</t>
  </si>
  <si>
    <t>1950.10027</t>
  </si>
  <si>
    <t>Знаменская улица, 1 / АЗС</t>
  </si>
  <si>
    <t>1950.10028</t>
  </si>
  <si>
    <t>улица Генерала Белобородова, 40 / MMK Petrol</t>
  </si>
  <si>
    <t>1950.186</t>
  </si>
  <si>
    <t>ТК ТРАСТ</t>
  </si>
  <si>
    <t>Ногинский район, Ногинск, 2-я Глуховская улица / АЗС</t>
  </si>
  <si>
    <t>1950.1200</t>
  </si>
  <si>
    <t>Севастополь, улица Богданова, 155, АЗС 5 / Татнефть</t>
  </si>
  <si>
    <t>Центр Сити</t>
  </si>
  <si>
    <t>1950.637</t>
  </si>
  <si>
    <t>Комплекс Ойл</t>
  </si>
  <si>
    <t>1950.9104</t>
  </si>
  <si>
    <t>М10, 118 км, слева, Конаковский район, деревня Мокшино, АЗС 20 / GF</t>
  </si>
  <si>
    <t>1950.602</t>
  </si>
  <si>
    <t>Владимир, Вокзальная улица, 61, АЗС Вокзал / SunPetrol</t>
  </si>
  <si>
    <t>1950.8450</t>
  </si>
  <si>
    <t>Переславль-Залесский, Магистральная улица, 30 / АЗС</t>
  </si>
  <si>
    <t>Чагинская улица, 15К1, АЗС 7 / Нефтьмагистраль</t>
  </si>
  <si>
    <t>1950.684</t>
  </si>
  <si>
    <t>Химки, Международное шоссе, АЗС 037 / Нефтьмагистраль</t>
  </si>
  <si>
    <t>1950.497</t>
  </si>
  <si>
    <t>Кущевский район, станица Кисляковская, улица Котляревского, 86, АГЗС 12</t>
  </si>
  <si>
    <t>НХП Розница</t>
  </si>
  <si>
    <t>1950.10055</t>
  </si>
  <si>
    <t>Пермь, улица Карпинского, 101Б / Нефтехимпром</t>
  </si>
  <si>
    <t>Александровский район, Карабаново, Октябрьская улица, 87, АЗС 2</t>
  </si>
  <si>
    <t>Муром, Владимирское шоссе, 27, АЗК 12</t>
  </si>
  <si>
    <t>Р72, 110 км, справа, Селивановский район, село Малышево, Советская улица, 129, АЗС 9</t>
  </si>
  <si>
    <t>Ковров, улица Космонавтов, 3, АЗС 8</t>
  </si>
  <si>
    <t>Владимир, Большая Нижегородская улица, 73б, АЗС 10</t>
  </si>
  <si>
    <t>Владимир, улица Мира, 1а, АЗС 14</t>
  </si>
  <si>
    <t>Р75, слева, Собинский район, посёлок городского типа Ставрово, АЗС 13</t>
  </si>
  <si>
    <t>Владимир, Добросельская улица, 219</t>
  </si>
  <si>
    <t>Муром, Карачаровское шоссе, 2а, АЗС 11</t>
  </si>
  <si>
    <t>Меленковский район, Меленки, улица 60 лет Октября, АЗС 45</t>
  </si>
  <si>
    <t>М7, 246 км, слева, Ковровский район, деревня Сенинские Дворики, АЗС 14</t>
  </si>
  <si>
    <t>Владимир, улица Мира, 63</t>
  </si>
  <si>
    <t>Гусь-Хрустальный район, деревня Побойки, АЗС 8</t>
  </si>
  <si>
    <t>М7, 109 км, слева, Петушинский район, АЗС 18</t>
  </si>
  <si>
    <t>М7, 109 км, справа, Петушинский район, АЗС 19</t>
  </si>
  <si>
    <t>Гусь-Хрустальный, Транспортная улица, 45А</t>
  </si>
  <si>
    <t>1950.8724</t>
  </si>
  <si>
    <t>1950.896</t>
  </si>
  <si>
    <t>Еманжелинский район, Еманжелинск, Уральская улица, 2а, АЗС 1 / Vintek</t>
  </si>
  <si>
    <t>Чувашская Республика</t>
  </si>
  <si>
    <t>1950.9709</t>
  </si>
  <si>
    <t>1950.9708</t>
  </si>
  <si>
    <t>1950.229</t>
  </si>
  <si>
    <t>М2, 305 км, слева, Мценский район / АЗС</t>
  </si>
  <si>
    <t>1950.730</t>
  </si>
  <si>
    <t>М4, 550 км, справа, Каширский район, АЗС 299 / Газпром</t>
  </si>
  <si>
    <t>1950.908</t>
  </si>
  <si>
    <t>Карабаш, Луговая улица, 8, АЗС 26 / Vintek</t>
  </si>
  <si>
    <t>1950.570</t>
  </si>
  <si>
    <t>Владимир, Курская улица, 5, АЗС 1 / City Oil</t>
  </si>
  <si>
    <t>1950.8721</t>
  </si>
  <si>
    <t>Петушинский район, Покров, улица Франца Штольверка, АЗС 16 / АЗС</t>
  </si>
  <si>
    <t>1950.10130</t>
  </si>
  <si>
    <t>Раменское, Молодёжная улица, 27вл1, Донинское шоссе, 2 км, слева, АЗС Раменское / MMK Petrol</t>
  </si>
  <si>
    <t>Пушкинский район, посёлок городского типа Лесной, улица Достоевского, 18, АЗС 25 / GF</t>
  </si>
  <si>
    <t>1950.10132</t>
  </si>
  <si>
    <t>МОЙКА</t>
  </si>
  <si>
    <t>1950.628</t>
  </si>
  <si>
    <t>Р22, 313 км, слева, Ряжский район, поселок Шереметьево, АЗС 1 / Змей Горыныч</t>
  </si>
  <si>
    <t>1950.1187</t>
  </si>
  <si>
    <t>Луховицкий район, Луховицы, улица Жуковского / АЗС</t>
  </si>
  <si>
    <t>Истра, Дедовск, 1-я Волоколамская улица, 74А, АЗС 1 / ОРТК</t>
  </si>
  <si>
    <t>Истра, деревня Ябедино, Волоколамское, 61 км, слева, АЗС 2 / ОРТК</t>
  </si>
  <si>
    <t>Истра, улица Панфилова, 3, АЗС 3 / ОРТК</t>
  </si>
  <si>
    <t>Истра, деревня Лобаново, АЗС 7 / ОРТК</t>
  </si>
  <si>
    <t>А107, слева, Истра, поселок Октябрьской фабрики, АЗС 9 / ОРТК</t>
  </si>
  <si>
    <t>1950.10095</t>
  </si>
  <si>
    <t>1950.10096</t>
  </si>
  <si>
    <t>1950.10097</t>
  </si>
  <si>
    <t>1950.10098</t>
  </si>
  <si>
    <t>1950.10099</t>
  </si>
  <si>
    <t>Донской бизнес</t>
  </si>
  <si>
    <t>Ростов-на-Дону, Всесоюзная улица, 111к13 / АГЗС</t>
  </si>
  <si>
    <t>Ростов-на-Дону, улица Малиновского, 77, между АГНКС и ГРП-2 / АГЗС</t>
  </si>
  <si>
    <t>1950.8644</t>
  </si>
  <si>
    <t>1950.8645</t>
  </si>
  <si>
    <t>1950.1098</t>
  </si>
  <si>
    <t>Красногорский район, посёлок городского типа Нахабино, улица Карбышева, 5а, АЗС Ф3 / GF</t>
  </si>
  <si>
    <t>1950.10171</t>
  </si>
  <si>
    <t>1950.629</t>
  </si>
  <si>
    <t>М5, 411 км, справа, Сасовский район, село Боковой Майдан, АЗС 2 / Змей Горыныч</t>
  </si>
  <si>
    <t>1950.574</t>
  </si>
  <si>
    <t>Владимир, Мещерская улица, 13, АЗС 5 / City Oil</t>
  </si>
  <si>
    <t>А108, 11 км, справа, Ступино, село Мещерино, ориентир км от М-5, МАЗК Мещерино / Лукойл</t>
  </si>
  <si>
    <t>Ступино, рабочий посёлок Малино, на въезде со стороны г. Ступино, МАЗК Малино / Лукойл</t>
  </si>
  <si>
    <t>1950.8916</t>
  </si>
  <si>
    <t>1950.8919</t>
  </si>
  <si>
    <t>1950.10089</t>
  </si>
  <si>
    <t>1950.10090</t>
  </si>
  <si>
    <t>1950.10092</t>
  </si>
  <si>
    <t>1950.10093</t>
  </si>
  <si>
    <t>Петролеум Плюс</t>
  </si>
  <si>
    <t>1950.10143</t>
  </si>
  <si>
    <t>1950.10144</t>
  </si>
  <si>
    <t>1950.683</t>
  </si>
  <si>
    <t>Коломенский район, село Непецино, трасса Москва-Челябинск (старая), 94 км, справа, АЗС 06</t>
  </si>
  <si>
    <t>М7, 37 км, справа, Ногинский район, Старая Купавна, Акрихиновское шоссе, 14, АЗС 035</t>
  </si>
  <si>
    <t>1950.10175</t>
  </si>
  <si>
    <t>СПМК-9</t>
  </si>
  <si>
    <t>1950.10026</t>
  </si>
  <si>
    <t>Кинешма, улица Маршала Василевского, 24А / АЗС</t>
  </si>
  <si>
    <t>1950.794</t>
  </si>
  <si>
    <t>Р79, 77 км, слева, Гаврилов-Ямский район, деревня Плотина, АЗС 7 / АЗС</t>
  </si>
  <si>
    <t>1950.8967</t>
  </si>
  <si>
    <t>Киржачский район, деревня Ефремово, улица Центральная, 1, трасса Киржач - Кольчугино, слева, АЗС 1 / АЗС</t>
  </si>
  <si>
    <t>1950.8917</t>
  </si>
  <si>
    <t>Лотошинский район, посёлок Новолотошино, Тверское шоссе, 3 / Лукойл</t>
  </si>
  <si>
    <t>1950.8922</t>
  </si>
  <si>
    <t>1950.943</t>
  </si>
  <si>
    <t>Рузский район, поселок городского типа Тучково, Гравийная улица, 19 / Интоп</t>
  </si>
  <si>
    <t>М4, 46 км, слева, Домодедово, микрорайон Востряково, улица Заборье, 1г, АЗС 025 / Нефтьмагистраль</t>
  </si>
  <si>
    <t>М5, 410 км, слева, Сасовский район, село Боковой Майдан, АЗС «Медовый аромат» / Змей Горыныч</t>
  </si>
  <si>
    <t>1950.10153</t>
  </si>
  <si>
    <t>1950.10154</t>
  </si>
  <si>
    <t>Смоленск, Индустриальная улица, 2, АЗС 410 / Газпром</t>
  </si>
  <si>
    <t>Смоленск, улица Кутузова, 19, АЗС 415 / Газпром</t>
  </si>
  <si>
    <t>Борисоглебский район, поселок Борисоглебский, Вощажниковская улица, 3 / ЯрТА</t>
  </si>
  <si>
    <t>1950.10100</t>
  </si>
  <si>
    <t>1950.10101</t>
  </si>
  <si>
    <t>1950.10102</t>
  </si>
  <si>
    <t>Дзержинский, Угрешская улица, 5 / ОРТК</t>
  </si>
  <si>
    <t>Дзержинский, Дзержинская улица, 46 / ОРТК</t>
  </si>
  <si>
    <t>1950.10140</t>
  </si>
  <si>
    <t>1950.10141</t>
  </si>
  <si>
    <t>1950.10270</t>
  </si>
  <si>
    <t>Домодедово, Каширское шоссе, 54-й километр, справа / Газпромнефть</t>
  </si>
  <si>
    <t>1950.10094</t>
  </si>
  <si>
    <t>Р120, 331 км, справа, Починковский район, деревня Мурыгино, АЗС 408 / Газпром</t>
  </si>
  <si>
    <t>Р120, 331 км, слева, Починковский район, деревня Мурыгино, АЗС 409 / Газпром</t>
  </si>
  <si>
    <t>1950.10155</t>
  </si>
  <si>
    <t>1950.10156</t>
  </si>
  <si>
    <t>Республика Марий Эл</t>
  </si>
  <si>
    <t>МТК</t>
  </si>
  <si>
    <t>1950.10165</t>
  </si>
  <si>
    <t>1950.10167</t>
  </si>
  <si>
    <t>Серпухов, трасса Серпухов - Протвино, 9 км, слева, АЗС 2 / АЗС</t>
  </si>
  <si>
    <t>Ступино, улица Академика Белова, вл10, АЗС 4 / АЗС</t>
  </si>
  <si>
    <t>1950.857</t>
  </si>
  <si>
    <t>1950.10272</t>
  </si>
  <si>
    <t>1950.9995</t>
  </si>
  <si>
    <t>1950.10196</t>
  </si>
  <si>
    <t>М7, 148 км, справа, Собинский район / IRBIS</t>
  </si>
  <si>
    <t>1950.10000</t>
  </si>
  <si>
    <t>Ярославль, проспект Фрунзе, 108 / ЯрТА</t>
  </si>
  <si>
    <t>1950.10252</t>
  </si>
  <si>
    <t>Селивановский район, посёлок городского типа Красная Горбатка, Коммунальная улица, 9а</t>
  </si>
  <si>
    <t>Троицк, микрорайон В, 63, АЗС 18</t>
  </si>
  <si>
    <t>Домодедово, деревня Заболотье, Домодедовское шоссе, 1, АЗС 1126 / ОРТК</t>
  </si>
  <si>
    <t>М4, 67 км, справа, Домодедово, деревня Ртищево, АЗС 054</t>
  </si>
  <si>
    <t>М4, 62 км, слева, Домодедово, село Кузьминское, АЗС 042 / Нефтьмагистраль</t>
  </si>
  <si>
    <t>М2, 51 км, справа, Подольск, деревня Алтухово, АЗС 040 / Нефтьмагистраль</t>
  </si>
  <si>
    <t>М4, 60 км, слева, Домодедово, деревня Барыбино, МАЗС 15</t>
  </si>
  <si>
    <t>Наро-Фоминск, Кубинское шоссе, вблизи ГК Академик, АЗС 25 / ОРТК</t>
  </si>
  <si>
    <t>Руза, поселок Колюбакино, улица Майора Алексеева, МАЗК Колюбакино / Лукойл</t>
  </si>
  <si>
    <t>А100, 51 км, слева, Одинцово, посёлок Часцы, АЗС 7 / ОРТК</t>
  </si>
  <si>
    <t>М1, 27 км, слева, Одинцово, деревня Бородки, коттеджный посёлок Грибово, АЗС 9 / ОРТК</t>
  </si>
  <si>
    <t>Одинцово, село Лайково, Красногорское ш., 5 км., слева, АЗС 15 / ОРТК</t>
  </si>
  <si>
    <t>А100, 66 км, справа, Одинцово, Кубинка, Можайское шоссе, 240, АЗС 16 / ОРТК</t>
  </si>
  <si>
    <t>Одинцово, Южная улица, АЗС 19 / ОРТК</t>
  </si>
  <si>
    <t>М9, 147 км, слева, Шаховская, деревня Малое Судислово, МАЗК 147км / Лукойл</t>
  </si>
  <si>
    <t>М9, 141 км, справа, Шаховская, деревня Рождествено, МАЗК 141 км / Лукойл</t>
  </si>
  <si>
    <t>А108, справа, Дмитров, деревня Поддубки, АЗС 34 / PLUS</t>
  </si>
  <si>
    <t>А108, слева, Дмитров, посёлок Новосиньково, АЗС 35 / PLUS</t>
  </si>
  <si>
    <t>Р112, 17 км, слева, Талдом, село Новогуслево, МАЗК Новогуслево / Лукойл</t>
  </si>
  <si>
    <t>М8, 67 км, слева, Сергиево-Посад, деревня Вихрево, АЗС 67 км М8 (лс) / MMK Petrol</t>
  </si>
  <si>
    <t>М8, 67 км, справа, Сергиево-Посад, деревня Вихрево, АЗС 67 км М8 (пс) / MMK Petrol</t>
  </si>
  <si>
    <t>Ногинск, шоссе Энтузиастов, 64Б / АЗС</t>
  </si>
  <si>
    <t>Р106, 45 км, справа, Шатура, деревня Новосидориха, МАЗК Новосидориха / Лукойл</t>
  </si>
  <si>
    <t>Ногинск, Автобазовая улица, 2 / PLUS</t>
  </si>
  <si>
    <t>рабочий посёлок имени Воровского, улица Воровского, 11 / ОРТК</t>
  </si>
  <si>
    <t>Ногинск, промплощадка 1,стр. 16 / АЗС</t>
  </si>
  <si>
    <t>М5, 30 км, слева, Раменское, деревня Островцы, Молодёжная улица, 50 / ОРТК</t>
  </si>
  <si>
    <t>А107, слева, Раменское, деревня Петровское, Центральная улица, 1В / PLUS</t>
  </si>
  <si>
    <t>Егорьевск, Рязановский, улица Чехова, 25</t>
  </si>
  <si>
    <t>Раменское, село Новохаритоново, Егорьевское шоссе, 40 км, справа / АЗС</t>
  </si>
  <si>
    <t>Р115, 53 км, справа, Коломна, посёлок Первомайский, Дорожная улица, 22 / Лукойл</t>
  </si>
  <si>
    <t>Касимов, Загородная улица, 1</t>
  </si>
  <si>
    <t>М8, слева, Переславль-Залесский, село Ям</t>
  </si>
  <si>
    <t>1950.225</t>
  </si>
  <si>
    <t>Воронеж, набережная Максима Горького, 33А, АЗС Северный мост / ВТК</t>
  </si>
  <si>
    <t>Шипиловская улица, 28 / MMK Petrol</t>
  </si>
  <si>
    <t>Липецкая улица, 3к1 / MMK Petrol</t>
  </si>
  <si>
    <t>1950.10294</t>
  </si>
  <si>
    <t>1950.10295</t>
  </si>
  <si>
    <t>ИП Галустян</t>
  </si>
  <si>
    <t>Волгоград, Социалистическая улица, 41 / Автомойка</t>
  </si>
  <si>
    <t>1950.1178</t>
  </si>
  <si>
    <t>Собинский район, Собинка, улица Гаражная, 2, АЗК 4 / АЗС</t>
  </si>
  <si>
    <t>1950.646</t>
  </si>
  <si>
    <t>Новокрюковская улица, 5а, АЗС 11 / Нефтьмагистраль</t>
  </si>
  <si>
    <t>М10, 38 км, слева, 5-й микрорайон, 5253-й проезд, АЗС 1 / Нефтьмагистраль</t>
  </si>
  <si>
    <t>1950.10166</t>
  </si>
  <si>
    <t>Жуковский район, деревня Окороково, трасса Серпухов - Белоусово, справа, АЗС 3 / АЗС</t>
  </si>
  <si>
    <t>1950.8646</t>
  </si>
  <si>
    <t>Ростов-на-Дону, проспект 40-летия Победы, 95г / АГЗС</t>
  </si>
  <si>
    <t>1950.584</t>
  </si>
  <si>
    <t>Воскресенский район, деревня Ратмирово, Набережная улица, 5к1, АЗС 2 / Аист</t>
  </si>
  <si>
    <t>1950.10266</t>
  </si>
  <si>
    <t>М9, 67 км, справа, Истра, деревня Фроловское, АЗС 061 / Нефтьмагистраль</t>
  </si>
  <si>
    <t>1950.128</t>
  </si>
  <si>
    <t>М7, 491 км, справа, Лысковский район, деревня Летнево / Сибнефть</t>
  </si>
  <si>
    <t>1950.10205</t>
  </si>
  <si>
    <t>М5, 573 км, справа, Мокшанский район, село Подгорное / IRBIS</t>
  </si>
  <si>
    <t>1950.10235</t>
  </si>
  <si>
    <t>Чебоксары, Марпосадское шоссе, 30 / IRBIS</t>
  </si>
  <si>
    <t>Парфинский район, поселок Парфино, АЗС 32 / Сургутнефтегаз</t>
  </si>
  <si>
    <t>1950.537</t>
  </si>
  <si>
    <t>1950.10207</t>
  </si>
  <si>
    <t>Йошкар-Ола, улица Прохорова, 33 / IRBIS</t>
  </si>
  <si>
    <t>М7, 734 км, справа, Козловский район, поселок при станции Тюрлема / IRBIS</t>
  </si>
  <si>
    <t>М7, 611 км, слева, Моргаушский район, деревня Юнгапоси / IRBIS</t>
  </si>
  <si>
    <t>1950.10232</t>
  </si>
  <si>
    <t>1950.10233</t>
  </si>
  <si>
    <t>1950.906</t>
  </si>
  <si>
    <t>Каслинский район, Касли, трасса Златоуст (М5) - Тюбук (М5, подъезд к г. Екатеринбург), АЗС 22 / Vintek</t>
  </si>
  <si>
    <t>М7, 160 км, справа, Собинский район, село Ворша, Центральная улица, 75 / АЗС</t>
  </si>
  <si>
    <t>1950.8778</t>
  </si>
  <si>
    <t>М7, 710 км, слева, Козловский район, деревня Янтиково / IRBIS</t>
  </si>
  <si>
    <t>1950.10230</t>
  </si>
  <si>
    <t>Раменский городской округ, Раменское, улица Левашова, 21А / АЗС</t>
  </si>
  <si>
    <t>1950.10419</t>
  </si>
  <si>
    <t>1950.10420</t>
  </si>
  <si>
    <t>Раменский городской округ, деревня Донино, Егорьевское шоссе, 30 км., справа / АЗС</t>
  </si>
  <si>
    <t>1950.10421</t>
  </si>
  <si>
    <t>Раменский городской округ, деревня Осеченки, Егорьевское шоссе, 13 км., справа / АЗС</t>
  </si>
  <si>
    <t>А107, слева, Раменский городской округ, деревня Петровское, Центральная улица, 47 / АЗС</t>
  </si>
  <si>
    <t>1950.10423</t>
  </si>
  <si>
    <t>1950.10195</t>
  </si>
  <si>
    <t>1950.10198</t>
  </si>
  <si>
    <t>М7, 147 км, слева, Собинский район / IRBIS</t>
  </si>
  <si>
    <t>1950.10208</t>
  </si>
  <si>
    <t>Йошкар-Ола, Сернурский тракт, 23 / IRBIS</t>
  </si>
  <si>
    <t>Раменский городской округ, деревня Шмелёнки, Егорьевское шоссе, 16 км., слева / АЗС</t>
  </si>
  <si>
    <t>1950.10422</t>
  </si>
  <si>
    <t>1950.10131</t>
  </si>
  <si>
    <t>Пушкинский район, Пушкино, Учинская улица, 4, АЗС 24 / GF</t>
  </si>
  <si>
    <t>1950.10200</t>
  </si>
  <si>
    <t>1950.10202</t>
  </si>
  <si>
    <t>1950.10199</t>
  </si>
  <si>
    <t>М7, 350 км, слева, Володарский район / IRBIS</t>
  </si>
  <si>
    <t>М7, 377 км, справа, городской округ Дзержинск, посёлок Пыра, Московская улица, 77 / IRBIS</t>
  </si>
  <si>
    <t>Кстовский район, деревня Афонино, Магистральная улица, 136Б / IRBIS</t>
  </si>
  <si>
    <t>1950.10206</t>
  </si>
  <si>
    <t>А295, 65 км, слева, Звениговский район, посёлок городского типа Красногорский / IRBIS</t>
  </si>
  <si>
    <t>Р176, 12 км, справа, Чебоксарский район, деревня Аркасы / IRBIS</t>
  </si>
  <si>
    <t>1950.10231</t>
  </si>
  <si>
    <t>Казань, Сибирский тракт, 40А / IRBIS</t>
  </si>
  <si>
    <t>Казань, улица Академика Глушко, 8А / IRBIS</t>
  </si>
  <si>
    <t>Казань, проспект Победы, 194А / IRBIS</t>
  </si>
  <si>
    <t>Зеленодольский район, Зеленодольск, Столичная улица, 34 / IRBIS</t>
  </si>
  <si>
    <t>Казань, улица Космонавтов, 65к1 / IRBIS</t>
  </si>
  <si>
    <t>Зеленодольский район, Зеленодольск, улица Гоголя, 7 / IRBIS</t>
  </si>
  <si>
    <t>М7, 810 км, справа, Казань, жилой массив Щербаково / IRBIS</t>
  </si>
  <si>
    <t>Казань, микрорайон Горки-3, Дубравная улица, 8 / IRBIS</t>
  </si>
  <si>
    <t>Р239, 29 км, справа, Лаишевский район, село Сокуры / IRBIS</t>
  </si>
  <si>
    <t>1950.10210</t>
  </si>
  <si>
    <t>1950.10211</t>
  </si>
  <si>
    <t>1950.10212</t>
  </si>
  <si>
    <t>1950.10213</t>
  </si>
  <si>
    <t>1950.10214</t>
  </si>
  <si>
    <t>1950.10216</t>
  </si>
  <si>
    <t>1950.10217</t>
  </si>
  <si>
    <t>1950.10218</t>
  </si>
  <si>
    <t>1950.10220</t>
  </si>
  <si>
    <t>1950.815</t>
  </si>
  <si>
    <t>М5, 1605 км, справа, Катав-Ивановский район, поселок Шарлаш / Феофан</t>
  </si>
  <si>
    <t>Рифма</t>
  </si>
  <si>
    <t>1950.10501</t>
  </si>
  <si>
    <t>Тула, улица Демидовская Плотина, 33А, АЗС 33106 / Shell</t>
  </si>
  <si>
    <t>ПаркОйл</t>
  </si>
  <si>
    <t>М7, 847 км, слева, Пестречинский район, село Арышхазда / IRBIS</t>
  </si>
  <si>
    <t>М7, 843 км, справа, Пестречинский район, поселок Ильинский / Сибнефть</t>
  </si>
  <si>
    <t>1950.129</t>
  </si>
  <si>
    <t>1950.130</t>
  </si>
  <si>
    <t>Кстовский район, село Большая Ельня, Магистральная улица / IRBIS</t>
  </si>
  <si>
    <t>1950.10203</t>
  </si>
  <si>
    <t>М7, 812 км, справа, Казань, объездная города Казань / IRBIS</t>
  </si>
  <si>
    <t>Лаишевский район, село Татарский Янтык, трасса Сорочьи Горы - Шали, 22 км, справа / IRBIS</t>
  </si>
  <si>
    <t>М7, 1055 км, справа, Набережные Челны, Казанский проспект, 256 / IRBIS</t>
  </si>
  <si>
    <t>М7, 1062 км, слева, Набережные Челны, Металлургическая улица, 45 / IRBIS</t>
  </si>
  <si>
    <t>Казань, улица Аделя Кутуя, 160Б / IRBIS</t>
  </si>
  <si>
    <t>1950.10209</t>
  </si>
  <si>
    <t>1950.10215</t>
  </si>
  <si>
    <t>1950.10223</t>
  </si>
  <si>
    <t>1950.10224</t>
  </si>
  <si>
    <t>1950.10228</t>
  </si>
  <si>
    <t>М7, 611 км, справа, Моргаушский район, деревня Юнгапоси / IRBIS</t>
  </si>
  <si>
    <t>1950.10234</t>
  </si>
  <si>
    <t>1950.10204</t>
  </si>
  <si>
    <t>М5, 768 км, слева, Кузнецкий район, поселок городского типа Евлашево / IRBIS</t>
  </si>
  <si>
    <t>Казань, улица Декабристов, 81А / IRBIS</t>
  </si>
  <si>
    <t>1950.10225</t>
  </si>
  <si>
    <t>Дмитров, Профессиональная улица, 111 / АЗС</t>
  </si>
  <si>
    <t>МЕЛТ</t>
  </si>
  <si>
    <t>1950.10434</t>
  </si>
  <si>
    <t>Королёв, Силикатная улица, 3 / АЗС</t>
  </si>
  <si>
    <t>Королёв, улица Ленина, 2е / АЗС</t>
  </si>
  <si>
    <t>1950.10441</t>
  </si>
  <si>
    <t>1950.10442</t>
  </si>
  <si>
    <t>Пентан-К</t>
  </si>
  <si>
    <t>Пеллетэкс</t>
  </si>
  <si>
    <t>М8, 36 км, справа, Пушкинский городской округ / АЗС</t>
  </si>
  <si>
    <t>Пушкино, Ярославское шоссе, 2 / АЗС</t>
  </si>
  <si>
    <t>Пушкино, Учинская улица, 10 / АЗС</t>
  </si>
  <si>
    <t>1950.10445</t>
  </si>
  <si>
    <t>1950.10446</t>
  </si>
  <si>
    <t>1950.10447</t>
  </si>
  <si>
    <t>ТОКО-2</t>
  </si>
  <si>
    <t>1950.10449</t>
  </si>
  <si>
    <t>Р-Ойл</t>
  </si>
  <si>
    <t>Дмитров, улица Космонавтов / АЗС</t>
  </si>
  <si>
    <t>Егорьевск, Рязанская улица, 108 / АЗС</t>
  </si>
  <si>
    <t>1950.10443</t>
  </si>
  <si>
    <t>ИП Светлова</t>
  </si>
  <si>
    <t>Егорьевск, деревня Ширяевская, Егорьевское шоссе, 81 км., слева / АЗС</t>
  </si>
  <si>
    <t>1950.10444</t>
  </si>
  <si>
    <t>Нижнекамский район, Нижнекамск, трасса Нижнекамск - Набережные Челны, 5 км, слева / IRBIS</t>
  </si>
  <si>
    <t>Казань, улица Маршала Чуйкова, 6В / IRBIS</t>
  </si>
  <si>
    <t>1950.10219</t>
  </si>
  <si>
    <t>1950.10226</t>
  </si>
  <si>
    <t>Носовихинское, 32 км, слева, Ногинский район, пгтипа имени Воровского, МАЗС 8 / Интеройл</t>
  </si>
  <si>
    <t>1950.913</t>
  </si>
  <si>
    <t>М7, 452 км, слева, Кстовский район, село Шава / IRBIS</t>
  </si>
  <si>
    <t>1950.10201</t>
  </si>
  <si>
    <t>М5, 349 км, справа, Шацкий район, село Казачья Слобода, АЗК 18 / PLUS</t>
  </si>
  <si>
    <t>Шацкий район, Шацк, 6 км обхода г. Шацк, слева, АЗК 32 / PLUS</t>
  </si>
  <si>
    <t>1950.211</t>
  </si>
  <si>
    <t>1950.10145</t>
  </si>
  <si>
    <t>1950.764</t>
  </si>
  <si>
    <t>Р75, слева, Кольчугинский район, поселок Металлист, улица Центральная, 1а, АЗК 27 / PLUS</t>
  </si>
  <si>
    <t>М7, 233 км, справа, Ковровский район, деревня Дмитриево / IRBIS</t>
  </si>
  <si>
    <t>1950.10197</t>
  </si>
  <si>
    <t>М7, 233 км, слева, Ковровский район</t>
  </si>
  <si>
    <t>1950.919</t>
  </si>
  <si>
    <t>М2, 41 км, справа, Подольск, деревня Бережки, МАЗС 13 / Интеройл</t>
  </si>
  <si>
    <t>Щербинка, Симферопольское шоссе, 15, МАЗС 1</t>
  </si>
  <si>
    <t>М7, 319 км, справа, Гороховецкий район, деревня Мисюрево, АЗК 15 / PLUS</t>
  </si>
  <si>
    <t>1950.221</t>
  </si>
  <si>
    <t>Всего ТО</t>
  </si>
  <si>
    <t xml:space="preserve">ТО - </t>
  </si>
  <si>
    <t>А100, 38 км, справа, Одинцовский городской округ, село Жаворонки, АЗС 4 / ОРТК</t>
  </si>
  <si>
    <t>1950.10088</t>
  </si>
  <si>
    <t>1950.9735</t>
  </si>
  <si>
    <t>Монтажная улица, 3</t>
  </si>
  <si>
    <t>1950.238</t>
  </si>
  <si>
    <t>Арзамасский район, рабочий поселок Выездное, выезд в сторону г. Дивеево, АЗК №11 / PLUS</t>
  </si>
  <si>
    <t>1950.230</t>
  </si>
  <si>
    <t>М2, 340 км, слева, Мценский район, поселок Отрадинский / АЗС</t>
  </si>
  <si>
    <t>1950.10222</t>
  </si>
  <si>
    <t>Казань, Тэцевская улица, 211б / IRBIS</t>
  </si>
  <si>
    <t>1950.10229</t>
  </si>
  <si>
    <t>Козловский район, Козловка, улица Лобачевского, 34 / IRBIS</t>
  </si>
  <si>
    <t>1950.583</t>
  </si>
  <si>
    <t>Воскресенский район, Воскресенск, Московская улица, 51, АЗС 1 / Аист</t>
  </si>
  <si>
    <t>Ковров, Октябрьская улица, 24б / АЗС</t>
  </si>
  <si>
    <t>1950.8458</t>
  </si>
  <si>
    <t>Куликовская улица, вл2с1, АЗС 5 / Astra</t>
  </si>
  <si>
    <t>1950.9738</t>
  </si>
  <si>
    <t>Р152, 160 км, справа, Ивановский район, деревня Дубынино, АЗК 17 / PLUS</t>
  </si>
  <si>
    <t>1950.215</t>
  </si>
  <si>
    <t>Муром, поселок фабрики имени Войкова, дом 45, АЗС Муром-1 / SunPetrol</t>
  </si>
  <si>
    <t>1950.608</t>
  </si>
  <si>
    <t>Кольчугинский район, деревня Ежово, трасса Кольчугино - Юрьев-Польский, слева / АЗС</t>
  </si>
  <si>
    <t>1950.10085</t>
  </si>
  <si>
    <t>М4, 942 км, справа, Каменский район, хутор Верхнеговейный, ул. Придорожная, 18, АЗС 350 / Газпром</t>
  </si>
  <si>
    <t>1950.737</t>
  </si>
  <si>
    <t>Республика Калмыкия</t>
  </si>
  <si>
    <t>1950.8979</t>
  </si>
  <si>
    <t>Элиста, улица В.И. Ленина, 8с5, АЗС 391 / Газпром</t>
  </si>
  <si>
    <t xml:space="preserve">М8, 343 км, слева, Даниловский район, деревня Слобода, Северная улица, 2А, АЗС 37 </t>
  </si>
  <si>
    <t>1950.10146</t>
  </si>
  <si>
    <t>1950.10602</t>
  </si>
  <si>
    <t>М-3 Украина, 111 км, справа, Малоярославецкий район, село Спас-Загорье, АЗС 6</t>
  </si>
  <si>
    <t>Краснокамский район, АЗС 19</t>
  </si>
  <si>
    <t>Пермь, улица Аркадия Гайдара, 14Б / Ликом</t>
  </si>
  <si>
    <t>1950.10664</t>
  </si>
  <si>
    <t>Рузгазсервис</t>
  </si>
  <si>
    <t>1950.10577</t>
  </si>
  <si>
    <t>1950.10578</t>
  </si>
  <si>
    <t>1950.10579</t>
  </si>
  <si>
    <t>Руза, Социалистическая улица, 73 / АЗС</t>
  </si>
  <si>
    <t>Рузский городской округ, посёлок Дорохово, Комсомольская улица, 1с1 / АЗС</t>
  </si>
  <si>
    <t>Рузский городской округ, поселок Колюбакино, улица Майора Алексеева, 17 / АЗС</t>
  </si>
  <si>
    <t>ЕВРООЙЛ</t>
  </si>
  <si>
    <t>1950.237</t>
  </si>
  <si>
    <t>Дзержинск, Автозаводское шоссе, 2, АЗК 10 / PLUS</t>
  </si>
  <si>
    <t>Турбо</t>
  </si>
  <si>
    <t>М4, 143 км, слева, Венёвский район, посёлок Мордвес, АЗС 3 / АЗС</t>
  </si>
  <si>
    <t>М4, 153 км, слева, Венёвский район, деревня Малое Алитово, АЗС 4 / АЗС</t>
  </si>
  <si>
    <t>1950.10604</t>
  </si>
  <si>
    <t>1950.10605</t>
  </si>
  <si>
    <t>Белгородская область</t>
  </si>
  <si>
    <t>Курская область</t>
  </si>
  <si>
    <t>Мурманская область</t>
  </si>
  <si>
    <t>Оренбургская область</t>
  </si>
  <si>
    <t>1950.1002</t>
  </si>
  <si>
    <t>Варненский район, село Варна, трасса Черноречье-Бреды, 80 км / EkoPower</t>
  </si>
  <si>
    <t>1950.10221</t>
  </si>
  <si>
    <t>Казань, Тихорецкая улица, 7к4 / IRBIS</t>
  </si>
  <si>
    <t xml:space="preserve">1. Москва и Московская область                                                                                              всего ТО - </t>
  </si>
  <si>
    <t>Балашиха, микрорайон Саввино, улица Калинина, 2А / ТНК</t>
  </si>
  <si>
    <t>1950.10448</t>
  </si>
  <si>
    <t>ПСП-2002</t>
  </si>
  <si>
    <t>Иваново, улица Тимирязева, 2а, АЗК 24 / PLUS</t>
  </si>
  <si>
    <t>1950.241</t>
  </si>
  <si>
    <t>Рыбинск, Шекснинское шоссе, 8 / ЯрТА</t>
  </si>
  <si>
    <t>1950.10336</t>
  </si>
  <si>
    <t>М4, 1059 км, слева, Аксайский район, Аксай, Западная улица, 1А, АЗС 165 / Газпром</t>
  </si>
  <si>
    <t>1950.8822</t>
  </si>
  <si>
    <t>2-я Пугачевская улица, вл11, АЗС 12 / Нефтьмагистраль</t>
  </si>
  <si>
    <t>Воронеж, Новосибирская улица, 2А / ВТК</t>
  </si>
  <si>
    <t>1950.10507</t>
  </si>
  <si>
    <t>М7, 574 км, справа, Воротынский район, село Белавка / АЗС</t>
  </si>
  <si>
    <t>М7, 574 км, слева, Воротынский район, село Белавка / АЗС</t>
  </si>
  <si>
    <t>ИП Наумов</t>
  </si>
  <si>
    <t>1950.10606</t>
  </si>
  <si>
    <t>1950.10607</t>
  </si>
  <si>
    <t>1950.915</t>
  </si>
  <si>
    <t>улица Поляны, 14, АГЗС 4 / Интеройл</t>
  </si>
  <si>
    <t>Калуга, улица Железняки, 40а, ТЗК 253 / Газпром</t>
  </si>
  <si>
    <t>1950.10552</t>
  </si>
  <si>
    <t>М4, 143 км, справа, Венёвский район, посёлок Мордвес, АЗС 2 / АЗС</t>
  </si>
  <si>
    <t>1950.10603</t>
  </si>
  <si>
    <t>Астраханская область</t>
  </si>
  <si>
    <t>1950.10546</t>
  </si>
  <si>
    <t>Астрахань, улица Ахшарумова, 90, АЗС 38 / Газпром</t>
  </si>
  <si>
    <t>1950.10556</t>
  </si>
  <si>
    <t>Курск, улица 50 лет Октября, 126д, АЗС 142 / Газпром</t>
  </si>
  <si>
    <t>Копейск, улица Энергетиков, 7, АЗС 3 / Vintek</t>
  </si>
  <si>
    <t>Курск, Литовская улица, 2к1, АЗС 117 / Газпром</t>
  </si>
  <si>
    <t>1950.10554</t>
  </si>
  <si>
    <t>1950.29340</t>
  </si>
  <si>
    <t>Р22, 948 км, слева, Городищенский район / АЗС</t>
  </si>
  <si>
    <t>АБС-Плюс</t>
  </si>
  <si>
    <t>Жирновский район, Жирновск, улица Ломоносова, 81, АЗС Жирновск / Башнефть</t>
  </si>
  <si>
    <t>1950.10540</t>
  </si>
  <si>
    <t>АЗС ВТК</t>
  </si>
  <si>
    <t>1950.10547</t>
  </si>
  <si>
    <t>Белгород, улица Белгородского Полка, 6 / Газпром</t>
  </si>
  <si>
    <t>Ставрополь, Пригородная улица, 249, АЗС 398 / Газпром</t>
  </si>
  <si>
    <t>1950.10570</t>
  </si>
  <si>
    <t>Волгоград, шоссе Авиаторов, 74 / Башнефть</t>
  </si>
  <si>
    <t>Волгоград, Автомагистральная улица, 1Ж / Башнефть</t>
  </si>
  <si>
    <t>Волгоград, улица Неждановой, 43 / АЗС</t>
  </si>
  <si>
    <t>1950.29338</t>
  </si>
  <si>
    <t>1950.29339</t>
  </si>
  <si>
    <t>1950.29342</t>
  </si>
  <si>
    <t>Межрегионтранс</t>
  </si>
  <si>
    <t>Котовский район, Котово, Степная улица, 2а, АЗС Котово / Башнефть</t>
  </si>
  <si>
    <t>1950.10538</t>
  </si>
  <si>
    <t>Петрол Трейд</t>
  </si>
  <si>
    <t>Р22, 930 км, справа, Городищенский район, посёлок Самофаловка / АЗС</t>
  </si>
  <si>
    <t>1950.29341</t>
  </si>
  <si>
    <t>Балашиха, Железнодорожный, Советская улица, 54, АЗС 18 / GF</t>
  </si>
  <si>
    <t>1950.811</t>
  </si>
  <si>
    <t>Р72, 4 км, слева, Владимир, Судогодское шоссе, 81, АЗС 15 / City Oil</t>
  </si>
  <si>
    <t>1950.582</t>
  </si>
  <si>
    <t>Иваново, улица Станкостроителей, 1В / АЗС</t>
  </si>
  <si>
    <t>1950.10611</t>
  </si>
  <si>
    <t>1950.10559</t>
  </si>
  <si>
    <t>Липецк, улица Катукова, 3, АЗС 382 / Газпром</t>
  </si>
  <si>
    <t>Люберцы, Проектируемый проезд №4037, владение 3 / GF</t>
  </si>
  <si>
    <t>1950.889</t>
  </si>
  <si>
    <t>1950.10190</t>
  </si>
  <si>
    <t>ТРАССА</t>
  </si>
  <si>
    <t>М2, 36 км, слева, городской округ Подольск, село Покров / Трасса</t>
  </si>
  <si>
    <t>Алексин, шоссе Генерала Короткова, 2А / Shell</t>
  </si>
  <si>
    <t>1950.29313</t>
  </si>
  <si>
    <t>1950.8642</t>
  </si>
  <si>
    <t>Ростов-на-Дону, улица Вересаева, 96 / АГЗС</t>
  </si>
  <si>
    <t>Р228, 486 км, справа, Камышинский район, село Умёт, АЗС Умет / Башнефть</t>
  </si>
  <si>
    <t>1950.10539</t>
  </si>
  <si>
    <t>М4, 324 км, справа, Ефремов, деревня Платоновка, ТЗК 109 / Газпром</t>
  </si>
  <si>
    <t>М4, 324 км, слева, Ефремов, деревня Платоновка, ТЗК 110 / Газпром</t>
  </si>
  <si>
    <t>1950.10571</t>
  </si>
  <si>
    <t>1950.10572</t>
  </si>
  <si>
    <t>1950.29312</t>
  </si>
  <si>
    <t>Алексин, улица Городская Дорога, 11А / Shell</t>
  </si>
  <si>
    <t>М9, 59 км, слева, Истра, деревня Горшково / Трасса</t>
  </si>
  <si>
    <t>1950.10191</t>
  </si>
  <si>
    <t>Липецк, улица Металлургов, 8, АЗС 135 / Газпром</t>
  </si>
  <si>
    <t>1950.10557</t>
  </si>
  <si>
    <t>1950.10564</t>
  </si>
  <si>
    <t>Орёл, Раздольная улица, 6, АЗС 237 / Газпром</t>
  </si>
  <si>
    <t>Ставрополь, улица Пирогова, 21, АЗС 24 / Газпром</t>
  </si>
  <si>
    <t>1950.10567</t>
  </si>
  <si>
    <t>Щербинка, Симферопольское шоссе, 1к1 / Нефтьмагистраль</t>
  </si>
  <si>
    <t>1950.10087</t>
  </si>
  <si>
    <t>Орёл, Наугорское шоссе, 8, АЗС 235 / Газпром</t>
  </si>
  <si>
    <t>1950.10563</t>
  </si>
  <si>
    <t>1950.10575</t>
  </si>
  <si>
    <t>Тула, Октябрьская улица, 107, ТЗК 378 / Газпром</t>
  </si>
  <si>
    <t>1950.212</t>
  </si>
  <si>
    <t>М7, 399 км, справа, Дзержинск, поселок Строителей, АЗК 9 / PLUS</t>
  </si>
  <si>
    <t>1950.10549</t>
  </si>
  <si>
    <t>М2, 645 км, слева, Яковлевский городской округ, Строитель, АЗС 331 / Газпром</t>
  </si>
  <si>
    <t>1950.29358</t>
  </si>
  <si>
    <t>Рязань, Московское шоссе, 10Б / АЗС</t>
  </si>
  <si>
    <t>Ноев Ковчег</t>
  </si>
  <si>
    <t>Р119, 301 км, справа, Липецк, Окружное шоссе, АЗС 381 / Газпром</t>
  </si>
  <si>
    <t>Добровский район, трасса Липецк - Чаплыгин, 27 км, слева, АЗС 383 / Газпром</t>
  </si>
  <si>
    <t>1950.10558</t>
  </si>
  <si>
    <t>1950.10560</t>
  </si>
  <si>
    <t>Истра, село Новопетровское, Первомайская улица / ОРТК</t>
  </si>
  <si>
    <t>1950.29382</t>
  </si>
  <si>
    <t>Истра, деревня Дуплёво, Волоколамское шоссе, 77 км, слева, АЗС 2108 / ОРТК</t>
  </si>
  <si>
    <t>1950.29384</t>
  </si>
  <si>
    <t>1950.29386</t>
  </si>
  <si>
    <t>Истра, деревня Холщёвики, Волоколамское шоссе, 68 км, справа, АЗС 2111 / ОРТК</t>
  </si>
  <si>
    <t>1950.29308</t>
  </si>
  <si>
    <t>Суворовский район, Суворов, Черепетская улица, 2Б / Shell</t>
  </si>
  <si>
    <t>А295, 124 км, слева, Зеленодольский район, село Новая Тура / IRBIS</t>
  </si>
  <si>
    <t>1950.29346</t>
  </si>
  <si>
    <t>Одинцово, Можайское шоссе, 1Б / ОРТК</t>
  </si>
  <si>
    <t>рабочий посёлок Большие Вязёмы, 1 км от А-100, справа, АЗС 1103 / ОРТК</t>
  </si>
  <si>
    <t>село Перхушково, Можайское шоссе 35 км. слева, АЗС 1106 / ОРТК</t>
  </si>
  <si>
    <t>деревня Малые Вязёмы / ОРТК</t>
  </si>
  <si>
    <t>рабочий посёлок Большие Вязёмы, Звенигородское шоссе, 2с1 / ОРТК</t>
  </si>
  <si>
    <t>деревня Малые Вязёмы, Можайское шоссе, 7А / ОРТК</t>
  </si>
  <si>
    <t>1950.29373</t>
  </si>
  <si>
    <t>1950.29374</t>
  </si>
  <si>
    <t>1950.29376</t>
  </si>
  <si>
    <t>1950.29379</t>
  </si>
  <si>
    <t>1950.29380</t>
  </si>
  <si>
    <t>1950.29381</t>
  </si>
  <si>
    <t>1950.29375</t>
  </si>
  <si>
    <t>1950.29377</t>
  </si>
  <si>
    <t>Одинцово, Можайское шоссе, 167 / ОРТК</t>
  </si>
  <si>
    <t>деревня Мамоново, Овражий тупик, 5, Можайское шоссе 20 км., АЗС 1108 / ОРТК</t>
  </si>
  <si>
    <t>1950.10561</t>
  </si>
  <si>
    <t>Переволоцкий район, посёлок при станции Сырт, М-5 подъезд к г. Оренбург, 378 км, слева, АЗС 85 / Газпром</t>
  </si>
  <si>
    <t>1950.10566</t>
  </si>
  <si>
    <t>Р217, 342 км, справа, Минераловодский городской округ, село Канглы, АЗС 17 / Газпром</t>
  </si>
  <si>
    <t>1950.10550</t>
  </si>
  <si>
    <t>Брянск, Флотская улица, 19А, ТЗК 139 / Газпром</t>
  </si>
  <si>
    <t>1950.10614</t>
  </si>
  <si>
    <t>Шуя, 2-я Дубковская улица, 1 / АЗС</t>
  </si>
  <si>
    <t>1950.10565</t>
  </si>
  <si>
    <t>Майкоп, улица 12 Марта, 181, АЗС 144 / Газпром</t>
  </si>
  <si>
    <t>1950.10568</t>
  </si>
  <si>
    <t>Ставрополь, улица Южный Обход, 3, АЗС 60 / Газпром</t>
  </si>
  <si>
    <t>1950.10612</t>
  </si>
  <si>
    <t>Гаврилов-Ямский район, поселок Борисово, трасса Иваново - Ступкино (М-8), 65 км, слева / АЗС</t>
  </si>
  <si>
    <t>1950.8603</t>
  </si>
  <si>
    <t>Наро-Фоминский городской округ, деревня Головеньки, АЗС 24 / ОРТК</t>
  </si>
  <si>
    <t>1950.9743</t>
  </si>
  <si>
    <t>МКАД, 39 км, слева / Astra</t>
  </si>
  <si>
    <t>деревня Наро-Осаново, Можайское шоссе 74 км. справа, АЗС 1114 / ОРТК</t>
  </si>
  <si>
    <t>деревня Капань, участок 41а, Можайское шоссе 84 км. слева, АЗС 1123 / ОРТК</t>
  </si>
  <si>
    <t>1950.29378</t>
  </si>
  <si>
    <t>1950.29385</t>
  </si>
  <si>
    <t>Заречный, в 80 метрах по направлению на северо-запад от садоводческого товарищества «Юбилейный».</t>
  </si>
  <si>
    <t>Сергиево-Посадский район, поселок Мостовик / NPS</t>
  </si>
  <si>
    <t>1950.978</t>
  </si>
  <si>
    <t>М7, 137 км, справа, Петушинский район, поселок Болдино / АЗС</t>
  </si>
  <si>
    <t>1950.8780</t>
  </si>
  <si>
    <t>1950.10142</t>
  </si>
  <si>
    <t>А108, слева, Ступино, рабочий посёлок Малино, Воскресенское шоссе, 18 / PLUS</t>
  </si>
  <si>
    <t>1950.10615</t>
  </si>
  <si>
    <t>Фурмановский район, деревня Бакшеево, Р600, справа / АЗС</t>
  </si>
  <si>
    <t>Кировская область</t>
  </si>
  <si>
    <t xml:space="preserve">Движение-Вятнефтепродукт </t>
  </si>
  <si>
    <t>1950.10646</t>
  </si>
  <si>
    <t>1950.10647</t>
  </si>
  <si>
    <t>1950.10652</t>
  </si>
  <si>
    <t>1950.10658</t>
  </si>
  <si>
    <t>1950.10660</t>
  </si>
  <si>
    <t>Киров, улица Ломоносова, 1 / Движение</t>
  </si>
  <si>
    <t>Р176, 130 км, слева, Котельнич / Движение</t>
  </si>
  <si>
    <t>Киров, Нововятский район, Советская улица, 181 / Движение</t>
  </si>
  <si>
    <t>Киров, Ленинский район, улица Щорса, 68А / Движение</t>
  </si>
  <si>
    <t>Орловский район, Орлов, улица Баумана, 37 / Движение</t>
  </si>
  <si>
    <t>Дмитровский городской округ, село Озерецкое, Рогачевское шоссе, 13 км, справа, АЗС 2115 / ОРТК</t>
  </si>
  <si>
    <t>1950.29387</t>
  </si>
  <si>
    <t>1950.29433</t>
  </si>
  <si>
    <t>улица Маршала Прошлякова 12к4</t>
  </si>
  <si>
    <t>ЛУЧ</t>
  </si>
  <si>
    <t>А101, 95 км, справа, Жуковский район, АЗС 2 Воробьи / MMK Petrol</t>
  </si>
  <si>
    <t>1950.29426</t>
  </si>
  <si>
    <t>ОРИОН</t>
  </si>
  <si>
    <t>1950.29431</t>
  </si>
  <si>
    <t>1950.29432</t>
  </si>
  <si>
    <t>Кольчугинский район, Кольчугино, улица Шмелева, 25 / Ростех</t>
  </si>
  <si>
    <t>Александровский район, Александров, улица Гагарина, 2 / Ростех</t>
  </si>
  <si>
    <t>Боровичский район, Боровичи, Ржевская улица, 20а, АГЗС 2 / Сургутнефтегаз</t>
  </si>
  <si>
    <t>2.148</t>
  </si>
  <si>
    <t>1950.510</t>
  </si>
  <si>
    <t>Воронеж, Московский проспект, 129к2 / ВТК</t>
  </si>
  <si>
    <t>Воронеж, проспект Патриотов, 42А / ВТК</t>
  </si>
  <si>
    <t>Воронеж, улица Красной Работницы, 1 / ВТК</t>
  </si>
  <si>
    <t>Воронеж, Новосибирская улица, 13 / ВТК</t>
  </si>
  <si>
    <t>Воронеж, улица 9 Января, 104 / ВТК</t>
  </si>
  <si>
    <t>Воронеж, улица 9 Января, 223А / ВТК</t>
  </si>
  <si>
    <t>1950.10504</t>
  </si>
  <si>
    <t>1950.10505</t>
  </si>
  <si>
    <t>1950.10509</t>
  </si>
  <si>
    <t>1950.10510</t>
  </si>
  <si>
    <t>1950.10514</t>
  </si>
  <si>
    <t>1950.10515</t>
  </si>
  <si>
    <t>1950.10654</t>
  </si>
  <si>
    <t>1950.10659</t>
  </si>
  <si>
    <t>Р176, 479 км, слева, Мурашинский район, деревня Белозерье / Движение</t>
  </si>
  <si>
    <t>Киров, Октябрьский проспект, 24 / Движение</t>
  </si>
  <si>
    <t>ТК ИРБИС</t>
  </si>
  <si>
    <t>1950.10512</t>
  </si>
  <si>
    <t>1950.10516</t>
  </si>
  <si>
    <t>Воронеж, Московский проспект, 13А / ВТК</t>
  </si>
  <si>
    <t>Воронеж, переулок Отличников, 73 / ВТК</t>
  </si>
  <si>
    <t>1950.10610</t>
  </si>
  <si>
    <t>Лежневский район, деревня Стояково, М-7 подъезд к г. Иваново, 104 км, справа / АЗС</t>
  </si>
  <si>
    <t>Сёркл Кей Россия</t>
  </si>
  <si>
    <t>1950.29320</t>
  </si>
  <si>
    <t>Великие Луки, проспект Гагарина, 82А / Statoil</t>
  </si>
  <si>
    <t>1950.29321</t>
  </si>
  <si>
    <t>Мурманск, Рогозерская улица, 2 / Statoil</t>
  </si>
  <si>
    <t>улица Барышиха, 11 / АЗС</t>
  </si>
  <si>
    <t>1950.29434</t>
  </si>
  <si>
    <t>1950.29461</t>
  </si>
  <si>
    <t>Гермес Ойл</t>
  </si>
  <si>
    <t>Заводская улица, 38с1 / АЗС</t>
  </si>
  <si>
    <t>1950.29464</t>
  </si>
  <si>
    <t>Солнечногорск, деревня Ложки, съезд с М-10 на п. Поварово, справа / АЗС</t>
  </si>
  <si>
    <t>1950.8720</t>
  </si>
  <si>
    <t>Петушинский район, Петушки, Западная улица, 1Б, АЗС 15 / АЗС</t>
  </si>
  <si>
    <t>1950.10503</t>
  </si>
  <si>
    <t>1950.10508</t>
  </si>
  <si>
    <t>Воронеж, Кольцовская улица, 24Б / ВТК</t>
  </si>
  <si>
    <t>Воронеж, Ленинский проспект, 154А / ВТК</t>
  </si>
  <si>
    <t>Ярославль, Мышкинский проезд, 7к1, АЗС 18 / Ярославская ТК</t>
  </si>
  <si>
    <t>1950.148</t>
  </si>
  <si>
    <t>Киров, улица Ленина, 196 / Движение</t>
  </si>
  <si>
    <t>1950.10653</t>
  </si>
  <si>
    <t>Псков, улица Леона Поземского, 112А, АЗС CircleK-Поземского / Statoil</t>
  </si>
  <si>
    <t>1950.29318</t>
  </si>
  <si>
    <t>Р169, 100 км, слева, Сунский район, посёлок городского типа Суна / Движение</t>
  </si>
  <si>
    <t>1950.10651</t>
  </si>
  <si>
    <t>1950.29322</t>
  </si>
  <si>
    <t>Кандалакшский район, Кандалакша, улица Пронина, 20А / Statoil</t>
  </si>
  <si>
    <t>Орёл, Маслозаводской переулок, 27 / Газпром</t>
  </si>
  <si>
    <t>Орловский район, деревня Грачевка, Тамбовская улица, 10 / Газпром</t>
  </si>
  <si>
    <t>1950.29428</t>
  </si>
  <si>
    <t>1950.29429</t>
  </si>
  <si>
    <t>МТК АЗС</t>
  </si>
  <si>
    <t>ПЕРЕЧЕНЬ АЗС где можно запросить у 
операторов АЗС - "INFO" по топливной карте РТС ONLINE</t>
  </si>
  <si>
    <r>
      <t xml:space="preserve">2. В Российской Федерации - в 40 Регионах РФ                                                                                            </t>
    </r>
    <r>
      <rPr>
        <b/>
        <sz val="16"/>
        <rFont val="Arial"/>
        <family val="2"/>
      </rPr>
      <t xml:space="preserve">всего АЗС - </t>
    </r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</si>
</sst>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C19]dd\ mmmm\ yyyy\ \г\.;@"/>
    <numFmt numFmtId="175" formatCode="0.000"/>
    <numFmt numFmtId="176" formatCode="#,##0.0000000"/>
    <numFmt numFmtId="177" formatCode="0.0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"/>
    <numFmt numFmtId="183" formatCode="#,##0.000"/>
    <numFmt numFmtId="184" formatCode="[$-FC19]d\ mmmm\ yyyy\ &quot;г.&quot;"/>
    <numFmt numFmtId="185" formatCode="0.0000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4"/>
      <name val="Arial"/>
      <family val="2"/>
    </font>
    <font>
      <b/>
      <sz val="11"/>
      <name val="Times New Roman"/>
      <family val="1"/>
    </font>
    <font>
      <sz val="10"/>
      <color indexed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7"/>
      <color indexed="9"/>
      <name val="Arial"/>
      <family val="2"/>
    </font>
    <font>
      <sz val="14"/>
      <color indexed="9"/>
      <name val="Arial"/>
      <family val="2"/>
    </font>
    <font>
      <b/>
      <i/>
      <u val="single"/>
      <sz val="12"/>
      <color indexed="9"/>
      <name val="Arial"/>
      <family val="2"/>
    </font>
    <font>
      <sz val="10"/>
      <color indexed="9"/>
      <name val="Arial Cyr"/>
      <family val="0"/>
    </font>
    <font>
      <b/>
      <sz val="10"/>
      <color indexed="9"/>
      <name val="Arial"/>
      <family val="2"/>
    </font>
    <font>
      <sz val="10"/>
      <name val="Verdana"/>
      <family val="2"/>
    </font>
    <font>
      <b/>
      <i/>
      <u val="single"/>
      <sz val="16"/>
      <name val="Arial"/>
      <family val="2"/>
    </font>
    <font>
      <sz val="9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b/>
      <sz val="16"/>
      <name val="Arial"/>
      <family val="2"/>
    </font>
    <font>
      <b/>
      <u val="single"/>
      <sz val="16"/>
      <name val="Arial"/>
      <family val="2"/>
    </font>
    <font>
      <b/>
      <sz val="11"/>
      <color indexed="8"/>
      <name val="Times New Roman"/>
      <family val="1"/>
    </font>
    <font>
      <i/>
      <sz val="14"/>
      <name val="Arial"/>
      <family val="2"/>
    </font>
    <font>
      <b/>
      <i/>
      <sz val="15"/>
      <name val="Arial"/>
      <family val="2"/>
    </font>
    <font>
      <b/>
      <i/>
      <u val="single"/>
      <sz val="12"/>
      <name val="Arial"/>
      <family val="2"/>
    </font>
    <font>
      <b/>
      <i/>
      <u val="single"/>
      <sz val="14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4"/>
      <color indexed="10"/>
      <name val="Arial"/>
      <family val="2"/>
    </font>
    <font>
      <sz val="8"/>
      <color indexed="10"/>
      <name val="Arial"/>
      <family val="2"/>
    </font>
    <font>
      <b/>
      <sz val="10"/>
      <color indexed="10"/>
      <name val="Arial"/>
      <family val="2"/>
    </font>
    <font>
      <sz val="8"/>
      <name val="Segoe UI"/>
      <family val="2"/>
    </font>
    <font>
      <u val="single"/>
      <sz val="10"/>
      <color theme="10"/>
      <name val="Arial"/>
      <family val="2"/>
    </font>
    <font>
      <sz val="11"/>
      <color theme="1"/>
      <name val="Calibri"/>
      <family val="2"/>
    </font>
    <font>
      <u val="single"/>
      <sz val="10"/>
      <color theme="11"/>
      <name val="Arial"/>
      <family val="2"/>
    </font>
    <font>
      <sz val="10"/>
      <color rgb="FFFF0000"/>
      <name val="Arial"/>
      <family val="2"/>
    </font>
    <font>
      <sz val="8"/>
      <color rgb="FF000000"/>
      <name val="Arial"/>
      <family val="2"/>
    </font>
    <font>
      <sz val="14"/>
      <color rgb="FFFF0000"/>
      <name val="Arial"/>
      <family val="2"/>
    </font>
    <font>
      <sz val="8"/>
      <color rgb="FFFF0000"/>
      <name val="Arial"/>
      <family val="2"/>
    </font>
    <font>
      <b/>
      <sz val="10"/>
      <color rgb="FFFF000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FFF00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>
        <color indexed="63"/>
      </top>
      <bottom style="thin"/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medium"/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>
        <color rgb="FF000000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>
        <color rgb="FF000000"/>
      </right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 style="thin"/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/>
      <bottom/>
    </border>
    <border>
      <left style="thin"/>
      <right>
        <color indexed="63"/>
      </right>
      <top/>
      <bottom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>
        <color rgb="FF000000"/>
      </right>
      <top style="thin">
        <color rgb="FF000000"/>
      </top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/>
      <bottom style="thin"/>
    </border>
    <border>
      <left/>
      <right/>
      <top style="medium"/>
      <bottom style="medium"/>
    </border>
    <border>
      <left>
        <color indexed="63"/>
      </left>
      <right style="thin"/>
      <top style="medium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946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1" fillId="0" borderId="0">
      <alignment/>
      <protection/>
    </xf>
    <xf numFmtId="0" fontId="32" fillId="0" borderId="0">
      <alignment/>
      <protection/>
    </xf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5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 vertical="top"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 vertical="top"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2" fillId="0" borderId="0">
      <alignment vertical="top"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14" fillId="0" borderId="0">
      <alignment/>
      <protection/>
    </xf>
    <xf numFmtId="0" fontId="53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</cellStyleXfs>
  <cellXfs count="323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3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>
      <alignment horizontal="left" vertical="center" shrinkToFit="1"/>
      <protection hidden="1"/>
    </xf>
    <xf numFmtId="0" fontId="20" fillId="0" borderId="0" xfId="0" applyFont="1" applyFill="1" applyBorder="1" applyAlignment="1" applyProtection="1">
      <alignment horizontal="center" vertical="center"/>
      <protection hidden="1"/>
    </xf>
    <xf numFmtId="0" fontId="27" fillId="0" borderId="0" xfId="0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0" fontId="20" fillId="0" borderId="0" xfId="0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 applyProtection="1">
      <alignment horizontal="left" vertical="center"/>
      <protection hidden="1"/>
    </xf>
    <xf numFmtId="0" fontId="28" fillId="0" borderId="0" xfId="0" applyFont="1" applyFill="1" applyBorder="1" applyAlignment="1" applyProtection="1">
      <alignment horizontal="center" vertical="center" shrinkToFit="1"/>
      <protection hidden="1"/>
    </xf>
    <xf numFmtId="0" fontId="28" fillId="0" borderId="0" xfId="0" applyFont="1" applyFill="1" applyBorder="1" applyAlignment="1" applyProtection="1">
      <alignment vertical="center" shrinkToFit="1"/>
      <protection hidden="1"/>
    </xf>
    <xf numFmtId="0" fontId="28" fillId="0" borderId="0" xfId="0" applyFont="1" applyFill="1" applyBorder="1" applyAlignment="1" applyProtection="1">
      <alignment horizontal="left" vertical="center" shrinkToFit="1"/>
      <protection hidden="1"/>
    </xf>
    <xf numFmtId="0" fontId="29" fillId="0" borderId="0" xfId="0" applyFont="1" applyFill="1" applyBorder="1" applyAlignment="1" applyProtection="1">
      <alignment horizontal="center" vertical="center"/>
      <protection hidden="1"/>
    </xf>
    <xf numFmtId="0" fontId="29" fillId="0" borderId="0" xfId="0" applyFont="1" applyFill="1" applyBorder="1" applyAlignment="1" applyProtection="1">
      <alignment vertical="center"/>
      <protection hidden="1"/>
    </xf>
    <xf numFmtId="0" fontId="20" fillId="0" borderId="0" xfId="0" applyFont="1" applyFill="1" applyAlignment="1" applyProtection="1">
      <alignment horizontal="center" vertical="center"/>
      <protection hidden="1"/>
    </xf>
    <xf numFmtId="0" fontId="30" fillId="0" borderId="0" xfId="872" applyFont="1" applyFill="1" applyAlignment="1" applyProtection="1">
      <alignment horizontal="center"/>
      <protection hidden="1"/>
    </xf>
    <xf numFmtId="0" fontId="31" fillId="0" borderId="0" xfId="0" applyFont="1" applyFill="1" applyBorder="1" applyAlignment="1" applyProtection="1">
      <alignment horizontal="center" vertical="center"/>
      <protection hidden="1"/>
    </xf>
    <xf numFmtId="49" fontId="20" fillId="0" borderId="0" xfId="0" applyNumberFormat="1" applyFont="1" applyFill="1" applyBorder="1" applyAlignment="1" applyProtection="1">
      <alignment horizontal="left" vertical="center" shrinkToFit="1"/>
      <protection hidden="1"/>
    </xf>
    <xf numFmtId="0" fontId="0" fillId="0" borderId="0" xfId="0" applyFont="1" applyFill="1" applyAlignment="1" applyProtection="1">
      <alignment horizontal="left" shrinkToFit="1"/>
      <protection/>
    </xf>
    <xf numFmtId="0" fontId="0" fillId="0" borderId="0" xfId="0" applyFont="1" applyFill="1" applyAlignment="1" applyProtection="1">
      <alignment horizontal="left"/>
      <protection/>
    </xf>
    <xf numFmtId="49" fontId="0" fillId="0" borderId="0" xfId="0" applyNumberFormat="1" applyFont="1" applyFill="1" applyAlignment="1" applyProtection="1">
      <alignment horizontal="left" vertical="center" wrapText="1"/>
      <protection locked="0"/>
    </xf>
    <xf numFmtId="49" fontId="0" fillId="0" borderId="0" xfId="0" applyNumberFormat="1" applyFont="1" applyAlignment="1" applyProtection="1">
      <alignment horizontal="left" vertical="center" wrapText="1"/>
      <protection locked="0"/>
    </xf>
    <xf numFmtId="0" fontId="25" fillId="0" borderId="10" xfId="0" applyFont="1" applyFill="1" applyBorder="1" applyAlignment="1">
      <alignment horizontal="left" vertical="center" wrapText="1"/>
    </xf>
    <xf numFmtId="0" fontId="25" fillId="0" borderId="10" xfId="0" applyFont="1" applyBorder="1" applyAlignment="1" applyProtection="1">
      <alignment horizontal="left" vertical="center" shrinkToFit="1"/>
      <protection locked="0"/>
    </xf>
    <xf numFmtId="0" fontId="25" fillId="0" borderId="10" xfId="0" applyFont="1" applyFill="1" applyBorder="1" applyAlignment="1" applyProtection="1">
      <alignment horizontal="left" vertical="center"/>
      <protection locked="0"/>
    </xf>
    <xf numFmtId="0" fontId="26" fillId="0" borderId="10" xfId="0" applyNumberFormat="1" applyFont="1" applyFill="1" applyBorder="1" applyAlignment="1">
      <alignment horizontal="left" vertical="center" wrapText="1"/>
    </xf>
    <xf numFmtId="0" fontId="25" fillId="0" borderId="11" xfId="0" applyFont="1" applyBorder="1" applyAlignment="1" applyProtection="1">
      <alignment horizontal="left" vertical="center" shrinkToFit="1"/>
      <protection locked="0"/>
    </xf>
    <xf numFmtId="0" fontId="25" fillId="0" borderId="11" xfId="0" applyFont="1" applyFill="1" applyBorder="1" applyAlignment="1" applyProtection="1">
      <alignment horizontal="left" vertical="center"/>
      <protection locked="0"/>
    </xf>
    <xf numFmtId="0" fontId="25" fillId="0" borderId="11" xfId="0" applyFont="1" applyFill="1" applyBorder="1" applyAlignment="1">
      <alignment horizontal="left" vertical="center" wrapText="1"/>
    </xf>
    <xf numFmtId="0" fontId="0" fillId="0" borderId="0" xfId="0" applyFont="1" applyFill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/>
      <protection/>
    </xf>
    <xf numFmtId="0" fontId="54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Fill="1" applyAlignment="1" applyProtection="1">
      <alignment vertical="center"/>
      <protection locked="0"/>
    </xf>
    <xf numFmtId="0" fontId="25" fillId="0" borderId="11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Alignment="1" applyProtection="1">
      <alignment horizontal="center" vertical="center" shrinkToFit="1"/>
      <protection locked="0"/>
    </xf>
    <xf numFmtId="0" fontId="25" fillId="0" borderId="10" xfId="0" applyFont="1" applyFill="1" applyBorder="1" applyAlignment="1" applyProtection="1">
      <alignment horizontal="center" vertical="center"/>
      <protection locked="0"/>
    </xf>
    <xf numFmtId="0" fontId="26" fillId="0" borderId="10" xfId="0" applyFont="1" applyBorder="1" applyAlignment="1" applyProtection="1">
      <alignment horizontal="center" vertical="center" shrinkToFit="1"/>
      <protection locked="0"/>
    </xf>
    <xf numFmtId="0" fontId="0" fillId="0" borderId="0" xfId="0" applyFont="1" applyFill="1" applyAlignment="1" applyProtection="1">
      <alignment horizontal="center" vertical="center" shrinkToFit="1"/>
      <protection locked="0"/>
    </xf>
    <xf numFmtId="0" fontId="0" fillId="0" borderId="0" xfId="0" applyFont="1" applyAlignment="1" applyProtection="1">
      <alignment horizontal="center" vertical="center" shrinkToFit="1"/>
      <protection locked="0"/>
    </xf>
    <xf numFmtId="0" fontId="55" fillId="0" borderId="10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177" fontId="25" fillId="0" borderId="12" xfId="0" applyNumberFormat="1" applyFont="1" applyFill="1" applyBorder="1" applyAlignment="1">
      <alignment horizontal="left" vertical="center" wrapText="1"/>
    </xf>
    <xf numFmtId="0" fontId="25" fillId="0" borderId="11" xfId="0" applyFont="1" applyFill="1" applyBorder="1" applyAlignment="1" applyProtection="1">
      <alignment horizontal="center" vertical="center"/>
      <protection/>
    </xf>
    <xf numFmtId="0" fontId="25" fillId="0" borderId="10" xfId="0" applyFont="1" applyFill="1" applyBorder="1" applyAlignment="1" applyProtection="1">
      <alignment horizontal="center" vertical="center"/>
      <protection/>
    </xf>
    <xf numFmtId="0" fontId="25" fillId="0" borderId="13" xfId="0" applyFont="1" applyFill="1" applyBorder="1" applyAlignment="1" applyProtection="1">
      <alignment horizontal="center" vertical="center"/>
      <protection/>
    </xf>
    <xf numFmtId="0" fontId="25" fillId="0" borderId="14" xfId="0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center" vertical="center" shrinkToFit="1"/>
      <protection locked="0"/>
    </xf>
    <xf numFmtId="0" fontId="0" fillId="0" borderId="0" xfId="0" applyFont="1" applyFill="1" applyAlignment="1" applyProtection="1">
      <alignment horizontal="center" vertical="center" shrinkToFit="1"/>
      <protection locked="0"/>
    </xf>
    <xf numFmtId="0" fontId="0" fillId="0" borderId="0" xfId="0" applyNumberFormat="1" applyFont="1" applyAlignment="1" applyProtection="1">
      <alignment horizontal="center" vertical="center" shrinkToFit="1"/>
      <protection locked="0"/>
    </xf>
    <xf numFmtId="0" fontId="0" fillId="0" borderId="0" xfId="0" applyFont="1" applyAlignment="1" applyProtection="1">
      <alignment horizontal="center" vertical="center" shrinkToFit="1"/>
      <protection locked="0"/>
    </xf>
    <xf numFmtId="0" fontId="0" fillId="0" borderId="0" xfId="0" applyNumberFormat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vertical="center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55" fillId="0" borderId="14" xfId="0" applyFont="1" applyFill="1" applyBorder="1" applyAlignment="1">
      <alignment horizontal="center" vertical="center" wrapText="1"/>
    </xf>
    <xf numFmtId="0" fontId="56" fillId="0" borderId="0" xfId="0" applyFont="1" applyAlignment="1" applyProtection="1">
      <alignment horizontal="center" vertical="center"/>
      <protection locked="0"/>
    </xf>
    <xf numFmtId="0" fontId="55" fillId="0" borderId="15" xfId="0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 wrapText="1"/>
    </xf>
    <xf numFmtId="0" fontId="55" fillId="0" borderId="16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 applyProtection="1">
      <alignment horizontal="right" vertical="center"/>
      <protection/>
    </xf>
    <xf numFmtId="0" fontId="55" fillId="0" borderId="12" xfId="0" applyFont="1" applyFill="1" applyBorder="1" applyAlignment="1">
      <alignment horizontal="left" vertical="center" wrapText="1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34" fillId="0" borderId="10" xfId="0" applyNumberFormat="1" applyFont="1" applyBorder="1" applyAlignment="1">
      <alignment horizontal="center" vertical="center" wrapText="1"/>
    </xf>
    <xf numFmtId="1" fontId="34" fillId="0" borderId="14" xfId="0" applyNumberFormat="1" applyFont="1" applyBorder="1" applyAlignment="1">
      <alignment horizontal="center" vertical="center" wrapText="1"/>
    </xf>
    <xf numFmtId="0" fontId="34" fillId="0" borderId="10" xfId="0" applyFont="1" applyBorder="1" applyAlignment="1">
      <alignment horizontal="left" vertical="center"/>
    </xf>
    <xf numFmtId="0" fontId="34" fillId="0" borderId="14" xfId="0" applyFont="1" applyBorder="1" applyAlignment="1">
      <alignment horizontal="left" vertical="center"/>
    </xf>
    <xf numFmtId="0" fontId="34" fillId="0" borderId="17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1" fontId="34" fillId="0" borderId="13" xfId="0" applyNumberFormat="1" applyFont="1" applyBorder="1" applyAlignment="1">
      <alignment horizontal="center" vertical="center" wrapText="1"/>
    </xf>
    <xf numFmtId="0" fontId="34" fillId="0" borderId="13" xfId="0" applyFont="1" applyBorder="1" applyAlignment="1">
      <alignment horizontal="left" vertical="center"/>
    </xf>
    <xf numFmtId="0" fontId="34" fillId="0" borderId="17" xfId="0" applyNumberFormat="1" applyFont="1" applyBorder="1" applyAlignment="1">
      <alignment horizontal="center" vertical="center"/>
    </xf>
    <xf numFmtId="0" fontId="25" fillId="0" borderId="12" xfId="0" applyFont="1" applyFill="1" applyBorder="1" applyAlignment="1" applyProtection="1">
      <alignment horizontal="center" vertical="center" wrapText="1"/>
      <protection locked="0"/>
    </xf>
    <xf numFmtId="0" fontId="25" fillId="0" borderId="15" xfId="0" applyFont="1" applyFill="1" applyBorder="1" applyAlignment="1" applyProtection="1">
      <alignment horizontal="center" vertical="center" wrapText="1"/>
      <protection locked="0"/>
    </xf>
    <xf numFmtId="0" fontId="57" fillId="0" borderId="10" xfId="0" applyFont="1" applyFill="1" applyBorder="1" applyAlignment="1" applyProtection="1">
      <alignment horizontal="center" vertical="center"/>
      <protection/>
    </xf>
    <xf numFmtId="0" fontId="57" fillId="0" borderId="12" xfId="0" applyFont="1" applyFill="1" applyBorder="1" applyAlignment="1" applyProtection="1">
      <alignment horizontal="center" vertical="center" wrapText="1"/>
      <protection locked="0"/>
    </xf>
    <xf numFmtId="0" fontId="54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 vertical="center"/>
      <protection locked="0"/>
    </xf>
    <xf numFmtId="177" fontId="25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 applyProtection="1">
      <alignment horizontal="center" vertical="center"/>
      <protection locked="0"/>
    </xf>
    <xf numFmtId="1" fontId="34" fillId="0" borderId="10" xfId="0" applyNumberFormat="1" applyFont="1" applyBorder="1" applyAlignment="1">
      <alignment vertical="center" wrapText="1"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1" fontId="34" fillId="0" borderId="13" xfId="0" applyNumberFormat="1" applyFont="1" applyBorder="1" applyAlignment="1">
      <alignment vertical="center" wrapText="1"/>
    </xf>
    <xf numFmtId="0" fontId="55" fillId="0" borderId="19" xfId="0" applyFont="1" applyFill="1" applyBorder="1" applyAlignment="1">
      <alignment horizontal="center" vertical="center" wrapText="1"/>
    </xf>
    <xf numFmtId="0" fontId="55" fillId="0" borderId="20" xfId="0" applyFont="1" applyFill="1" applyBorder="1" applyAlignment="1">
      <alignment horizontal="left" vertical="center" wrapText="1"/>
    </xf>
    <xf numFmtId="0" fontId="55" fillId="0" borderId="20" xfId="0" applyFont="1" applyFill="1" applyBorder="1" applyAlignment="1">
      <alignment horizontal="center" vertical="center" wrapText="1"/>
    </xf>
    <xf numFmtId="0" fontId="55" fillId="0" borderId="21" xfId="0" applyFont="1" applyFill="1" applyBorder="1" applyAlignment="1">
      <alignment horizontal="left" vertical="center" wrapText="1"/>
    </xf>
    <xf numFmtId="0" fontId="25" fillId="0" borderId="22" xfId="0" applyFont="1" applyBorder="1" applyAlignment="1">
      <alignment horizontal="center" vertical="center"/>
    </xf>
    <xf numFmtId="1" fontId="25" fillId="0" borderId="11" xfId="0" applyNumberFormat="1" applyFont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vertical="center"/>
    </xf>
    <xf numFmtId="0" fontId="25" fillId="0" borderId="17" xfId="0" applyFont="1" applyBorder="1" applyAlignment="1">
      <alignment horizontal="center" vertical="center"/>
    </xf>
    <xf numFmtId="1" fontId="25" fillId="0" borderId="10" xfId="0" applyNumberFormat="1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vertical="center"/>
    </xf>
    <xf numFmtId="0" fontId="25" fillId="0" borderId="18" xfId="0" applyFont="1" applyBorder="1" applyAlignment="1">
      <alignment horizontal="center" vertical="center"/>
    </xf>
    <xf numFmtId="1" fontId="25" fillId="0" borderId="14" xfId="0" applyNumberFormat="1" applyFont="1" applyBorder="1" applyAlignment="1">
      <alignment horizontal="center" vertical="center" wrapText="1"/>
    </xf>
    <xf numFmtId="0" fontId="25" fillId="0" borderId="14" xfId="0" applyFont="1" applyBorder="1" applyAlignment="1">
      <alignment vertical="center"/>
    </xf>
    <xf numFmtId="0" fontId="55" fillId="0" borderId="11" xfId="0" applyFont="1" applyFill="1" applyBorder="1" applyAlignment="1">
      <alignment horizontal="left" vertical="center" wrapText="1"/>
    </xf>
    <xf numFmtId="0" fontId="55" fillId="0" borderId="10" xfId="0" applyFont="1" applyFill="1" applyBorder="1" applyAlignment="1">
      <alignment horizontal="left" vertical="center" wrapText="1"/>
    </xf>
    <xf numFmtId="0" fontId="55" fillId="0" borderId="14" xfId="0" applyFont="1" applyFill="1" applyBorder="1" applyAlignment="1">
      <alignment horizontal="left" vertical="center" wrapText="1"/>
    </xf>
    <xf numFmtId="0" fontId="57" fillId="0" borderId="15" xfId="0" applyFont="1" applyFill="1" applyBorder="1" applyAlignment="1">
      <alignment horizontal="center" vertical="center" wrapText="1"/>
    </xf>
    <xf numFmtId="0" fontId="55" fillId="0" borderId="23" xfId="0" applyFont="1" applyFill="1" applyBorder="1" applyAlignment="1">
      <alignment horizontal="center" vertical="center" wrapText="1"/>
    </xf>
    <xf numFmtId="0" fontId="55" fillId="0" borderId="24" xfId="0" applyFont="1" applyFill="1" applyBorder="1" applyAlignment="1">
      <alignment horizontal="left" vertical="center" wrapText="1"/>
    </xf>
    <xf numFmtId="0" fontId="25" fillId="0" borderId="11" xfId="0" applyFont="1" applyBorder="1" applyAlignment="1">
      <alignment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center" vertical="center" wrapText="1"/>
    </xf>
    <xf numFmtId="0" fontId="55" fillId="0" borderId="25" xfId="0" applyFont="1" applyFill="1" applyBorder="1" applyAlignment="1">
      <alignment horizontal="left" vertical="center" wrapText="1"/>
    </xf>
    <xf numFmtId="0" fontId="55" fillId="0" borderId="26" xfId="0" applyFont="1" applyFill="1" applyBorder="1" applyAlignment="1">
      <alignment horizontal="center" vertical="center" wrapText="1"/>
    </xf>
    <xf numFmtId="0" fontId="55" fillId="0" borderId="27" xfId="0" applyFont="1" applyFill="1" applyBorder="1" applyAlignment="1">
      <alignment horizontal="left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center" vertical="center" wrapText="1"/>
    </xf>
    <xf numFmtId="175" fontId="34" fillId="0" borderId="17" xfId="0" applyNumberFormat="1" applyFont="1" applyBorder="1" applyAlignment="1">
      <alignment horizontal="center" vertical="center"/>
    </xf>
    <xf numFmtId="0" fontId="40" fillId="0" borderId="0" xfId="0" applyFont="1" applyFill="1" applyAlignment="1" applyProtection="1">
      <alignment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center"/>
      <protection/>
    </xf>
    <xf numFmtId="0" fontId="34" fillId="0" borderId="17" xfId="0" applyFont="1" applyFill="1" applyBorder="1" applyAlignment="1">
      <alignment horizontal="center" vertical="center"/>
    </xf>
    <xf numFmtId="1" fontId="34" fillId="0" borderId="10" xfId="0" applyNumberFormat="1" applyFont="1" applyFill="1" applyBorder="1" applyAlignment="1">
      <alignment horizontal="center" vertical="center" wrapText="1"/>
    </xf>
    <xf numFmtId="1" fontId="34" fillId="0" borderId="10" xfId="0" applyNumberFormat="1" applyFont="1" applyFill="1" applyBorder="1" applyAlignment="1">
      <alignment vertical="center" wrapText="1"/>
    </xf>
    <xf numFmtId="0" fontId="34" fillId="0" borderId="10" xfId="0" applyFont="1" applyFill="1" applyBorder="1" applyAlignment="1">
      <alignment horizontal="left" vertical="center"/>
    </xf>
    <xf numFmtId="1" fontId="34" fillId="0" borderId="11" xfId="0" applyNumberFormat="1" applyFont="1" applyFill="1" applyBorder="1" applyAlignment="1">
      <alignment vertical="center" wrapText="1"/>
    </xf>
    <xf numFmtId="1" fontId="34" fillId="0" borderId="11" xfId="0" applyNumberFormat="1" applyFont="1" applyFill="1" applyBorder="1" applyAlignment="1">
      <alignment horizontal="center" vertical="center" wrapText="1"/>
    </xf>
    <xf numFmtId="0" fontId="34" fillId="0" borderId="22" xfId="0" applyFont="1" applyFill="1" applyBorder="1" applyAlignment="1">
      <alignment horizontal="center" vertical="center"/>
    </xf>
    <xf numFmtId="0" fontId="34" fillId="0" borderId="11" xfId="0" applyFont="1" applyFill="1" applyBorder="1" applyAlignment="1">
      <alignment horizontal="left" vertical="center"/>
    </xf>
    <xf numFmtId="0" fontId="55" fillId="0" borderId="0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left" vertical="center" wrapText="1"/>
    </xf>
    <xf numFmtId="0" fontId="55" fillId="0" borderId="28" xfId="0" applyFont="1" applyFill="1" applyBorder="1" applyAlignment="1">
      <alignment horizontal="center" vertical="center" wrapText="1"/>
    </xf>
    <xf numFmtId="0" fontId="55" fillId="0" borderId="29" xfId="0" applyFont="1" applyFill="1" applyBorder="1" applyAlignment="1">
      <alignment horizontal="center" vertical="center" wrapText="1"/>
    </xf>
    <xf numFmtId="0" fontId="55" fillId="0" borderId="13" xfId="0" applyFont="1" applyFill="1" applyBorder="1" applyAlignment="1">
      <alignment horizontal="center" vertical="center" wrapText="1"/>
    </xf>
    <xf numFmtId="0" fontId="55" fillId="0" borderId="30" xfId="0" applyFont="1" applyFill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/>
    </xf>
    <xf numFmtId="1" fontId="25" fillId="0" borderId="28" xfId="0" applyNumberFormat="1" applyFont="1" applyBorder="1" applyAlignment="1">
      <alignment horizontal="center" vertical="center" wrapText="1"/>
    </xf>
    <xf numFmtId="0" fontId="55" fillId="0" borderId="28" xfId="0" applyFont="1" applyFill="1" applyBorder="1" applyAlignment="1">
      <alignment horizontal="left" vertical="center" wrapText="1"/>
    </xf>
    <xf numFmtId="0" fontId="25" fillId="0" borderId="28" xfId="0" applyFont="1" applyBorder="1" applyAlignment="1">
      <alignment vertical="center"/>
    </xf>
    <xf numFmtId="1" fontId="25" fillId="0" borderId="13" xfId="0" applyNumberFormat="1" applyFont="1" applyBorder="1" applyAlignment="1">
      <alignment horizontal="center" vertical="center" wrapText="1"/>
    </xf>
    <xf numFmtId="0" fontId="25" fillId="0" borderId="13" xfId="0" applyFont="1" applyBorder="1" applyAlignment="1">
      <alignment vertical="center"/>
    </xf>
    <xf numFmtId="0" fontId="55" fillId="0" borderId="31" xfId="0" applyFont="1" applyFill="1" applyBorder="1" applyAlignment="1">
      <alignment horizontal="center" vertical="center" wrapText="1"/>
    </xf>
    <xf numFmtId="0" fontId="55" fillId="0" borderId="32" xfId="0" applyFont="1" applyFill="1" applyBorder="1" applyAlignment="1">
      <alignment horizontal="left" vertical="center" wrapText="1"/>
    </xf>
    <xf numFmtId="0" fontId="34" fillId="0" borderId="10" xfId="0" applyFont="1" applyFill="1" applyBorder="1" applyAlignment="1" applyProtection="1">
      <alignment horizontal="center" vertical="center"/>
      <protection/>
    </xf>
    <xf numFmtId="175" fontId="34" fillId="0" borderId="17" xfId="0" applyNumberFormat="1" applyFont="1" applyFill="1" applyBorder="1" applyAlignment="1">
      <alignment horizontal="center" vertical="center"/>
    </xf>
    <xf numFmtId="0" fontId="55" fillId="0" borderId="33" xfId="0" applyFont="1" applyFill="1" applyBorder="1" applyAlignment="1">
      <alignment horizontal="center" vertical="center" wrapText="1"/>
    </xf>
    <xf numFmtId="1" fontId="25" fillId="0" borderId="33" xfId="0" applyNumberFormat="1" applyFont="1" applyBorder="1" applyAlignment="1">
      <alignment horizontal="center" vertical="center" wrapText="1"/>
    </xf>
    <xf numFmtId="1" fontId="25" fillId="0" borderId="34" xfId="0" applyNumberFormat="1" applyFont="1" applyBorder="1" applyAlignment="1">
      <alignment horizontal="center" vertical="center" wrapText="1"/>
    </xf>
    <xf numFmtId="0" fontId="55" fillId="0" borderId="35" xfId="0" applyFont="1" applyFill="1" applyBorder="1" applyAlignment="1">
      <alignment horizontal="center" vertical="center" wrapText="1"/>
    </xf>
    <xf numFmtId="175" fontId="55" fillId="0" borderId="17" xfId="0" applyNumberFormat="1" applyFont="1" applyFill="1" applyBorder="1" applyAlignment="1">
      <alignment horizontal="center" vertical="center" wrapText="1"/>
    </xf>
    <xf numFmtId="175" fontId="55" fillId="0" borderId="22" xfId="0" applyNumberFormat="1" applyFont="1" applyFill="1" applyBorder="1" applyAlignment="1">
      <alignment horizontal="center" vertical="center" wrapText="1"/>
    </xf>
    <xf numFmtId="0" fontId="55" fillId="0" borderId="34" xfId="0" applyFont="1" applyFill="1" applyBorder="1" applyAlignment="1">
      <alignment horizontal="center" vertical="center" wrapText="1"/>
    </xf>
    <xf numFmtId="175" fontId="55" fillId="0" borderId="18" xfId="0" applyNumberFormat="1" applyFont="1" applyFill="1" applyBorder="1" applyAlignment="1">
      <alignment horizontal="center" vertical="center" wrapText="1"/>
    </xf>
    <xf numFmtId="0" fontId="55" fillId="0" borderId="36" xfId="0" applyFont="1" applyFill="1" applyBorder="1" applyAlignment="1">
      <alignment horizontal="center" vertical="center" wrapText="1"/>
    </xf>
    <xf numFmtId="0" fontId="55" fillId="0" borderId="37" xfId="0" applyFont="1" applyFill="1" applyBorder="1" applyAlignment="1">
      <alignment horizontal="left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1" xfId="0" applyFont="1" applyBorder="1" applyAlignment="1" applyProtection="1">
      <alignment horizontal="center" vertical="center" shrinkToFit="1"/>
      <protection locked="0"/>
    </xf>
    <xf numFmtId="0" fontId="55" fillId="0" borderId="38" xfId="0" applyFont="1" applyFill="1" applyBorder="1" applyAlignment="1">
      <alignment horizontal="left" vertical="center" wrapText="1"/>
    </xf>
    <xf numFmtId="0" fontId="25" fillId="0" borderId="11" xfId="0" applyFont="1" applyBorder="1" applyAlignment="1" applyProtection="1">
      <alignment horizontal="center" vertical="center"/>
      <protection locked="0"/>
    </xf>
    <xf numFmtId="0" fontId="25" fillId="0" borderId="15" xfId="0" applyFont="1" applyBorder="1" applyAlignment="1" applyProtection="1">
      <alignment horizontal="left" vertical="center" shrinkToFit="1"/>
      <protection locked="0"/>
    </xf>
    <xf numFmtId="175" fontId="55" fillId="0" borderId="39" xfId="0" applyNumberFormat="1" applyFont="1" applyFill="1" applyBorder="1" applyAlignment="1">
      <alignment horizontal="center" vertical="center" wrapText="1"/>
    </xf>
    <xf numFmtId="0" fontId="34" fillId="0" borderId="40" xfId="0" applyFont="1" applyBorder="1" applyAlignment="1">
      <alignment horizontal="center" vertical="center"/>
    </xf>
    <xf numFmtId="0" fontId="34" fillId="0" borderId="13" xfId="0" applyFont="1" applyFill="1" applyBorder="1" applyAlignment="1" applyProtection="1">
      <alignment horizontal="center" vertical="center"/>
      <protection/>
    </xf>
    <xf numFmtId="0" fontId="25" fillId="0" borderId="30" xfId="0" applyFont="1" applyFill="1" applyBorder="1" applyAlignment="1" applyProtection="1">
      <alignment horizontal="center" vertical="center" wrapText="1"/>
      <protection locked="0"/>
    </xf>
    <xf numFmtId="175" fontId="55" fillId="0" borderId="19" xfId="0" applyNumberFormat="1" applyFont="1" applyFill="1" applyBorder="1" applyAlignment="1">
      <alignment horizontal="center" vertical="center" wrapText="1"/>
    </xf>
    <xf numFmtId="175" fontId="25" fillId="0" borderId="22" xfId="0" applyNumberFormat="1" applyFont="1" applyBorder="1" applyAlignment="1">
      <alignment horizontal="center" vertical="center"/>
    </xf>
    <xf numFmtId="175" fontId="25" fillId="0" borderId="17" xfId="0" applyNumberFormat="1" applyFont="1" applyBorder="1" applyAlignment="1">
      <alignment horizontal="center" vertical="center"/>
    </xf>
    <xf numFmtId="0" fontId="25" fillId="0" borderId="10" xfId="0" applyFont="1" applyBorder="1" applyAlignment="1" applyProtection="1">
      <alignment horizontal="center" vertical="center" shrinkToFit="1"/>
      <protection locked="0"/>
    </xf>
    <xf numFmtId="0" fontId="25" fillId="0" borderId="10" xfId="0" applyFont="1" applyBorder="1" applyAlignment="1" applyProtection="1">
      <alignment horizontal="center" vertical="center"/>
      <protection locked="0"/>
    </xf>
    <xf numFmtId="0" fontId="25" fillId="0" borderId="12" xfId="0" applyFont="1" applyBorder="1" applyAlignment="1" applyProtection="1">
      <alignment horizontal="left" vertical="center" shrinkToFit="1"/>
      <protection locked="0"/>
    </xf>
    <xf numFmtId="175" fontId="55" fillId="0" borderId="26" xfId="0" applyNumberFormat="1" applyFont="1" applyFill="1" applyBorder="1" applyAlignment="1">
      <alignment horizontal="center" vertical="center" wrapText="1"/>
    </xf>
    <xf numFmtId="175" fontId="25" fillId="0" borderId="18" xfId="0" applyNumberFormat="1" applyFont="1" applyBorder="1" applyAlignment="1">
      <alignment horizontal="center" vertical="center"/>
    </xf>
    <xf numFmtId="0" fontId="58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left" vertical="center"/>
      <protection hidden="1"/>
    </xf>
    <xf numFmtId="1" fontId="25" fillId="0" borderId="33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vertical="center"/>
    </xf>
    <xf numFmtId="1" fontId="25" fillId="0" borderId="10" xfId="0" applyNumberFormat="1" applyFont="1" applyFill="1" applyBorder="1" applyAlignment="1">
      <alignment horizontal="center" vertical="center" wrapText="1"/>
    </xf>
    <xf numFmtId="2" fontId="34" fillId="0" borderId="17" xfId="0" applyNumberFormat="1" applyFont="1" applyFill="1" applyBorder="1" applyAlignment="1">
      <alignment horizontal="center" vertical="center"/>
    </xf>
    <xf numFmtId="3" fontId="33" fillId="24" borderId="41" xfId="0" applyNumberFormat="1" applyFont="1" applyFill="1" applyBorder="1" applyAlignment="1" applyProtection="1">
      <alignment horizontal="center" vertical="center"/>
      <protection hidden="1"/>
    </xf>
    <xf numFmtId="3" fontId="33" fillId="25" borderId="41" xfId="0" applyNumberFormat="1" applyFont="1" applyFill="1" applyBorder="1" applyAlignment="1" applyProtection="1">
      <alignment horizontal="center" vertical="center"/>
      <protection hidden="1"/>
    </xf>
    <xf numFmtId="3" fontId="33" fillId="25" borderId="42" xfId="0" applyNumberFormat="1" applyFont="1" applyFill="1" applyBorder="1" applyAlignment="1" applyProtection="1">
      <alignment horizontal="center" vertical="center"/>
      <protection hidden="1"/>
    </xf>
    <xf numFmtId="3" fontId="33" fillId="25" borderId="43" xfId="0" applyNumberFormat="1" applyFont="1" applyFill="1" applyBorder="1" applyAlignment="1" applyProtection="1">
      <alignment horizontal="center" vertical="center"/>
      <protection hidden="1"/>
    </xf>
    <xf numFmtId="0" fontId="33" fillId="25" borderId="44" xfId="0" applyFont="1" applyFill="1" applyBorder="1" applyAlignment="1" applyProtection="1">
      <alignment horizontal="center" vertical="center"/>
      <protection hidden="1"/>
    </xf>
    <xf numFmtId="0" fontId="33" fillId="25" borderId="44" xfId="0" applyFont="1" applyFill="1" applyBorder="1" applyAlignment="1" applyProtection="1">
      <alignment horizontal="center" vertical="center"/>
      <protection hidden="1"/>
    </xf>
    <xf numFmtId="0" fontId="25" fillId="0" borderId="17" xfId="0" applyFont="1" applyFill="1" applyBorder="1" applyAlignment="1">
      <alignment horizontal="center" vertical="center"/>
    </xf>
    <xf numFmtId="0" fontId="25" fillId="0" borderId="40" xfId="0" applyFont="1" applyBorder="1" applyAlignment="1">
      <alignment horizontal="center" vertical="center"/>
    </xf>
    <xf numFmtId="0" fontId="55" fillId="0" borderId="45" xfId="0" applyFont="1" applyFill="1" applyBorder="1" applyAlignment="1">
      <alignment horizontal="left" vertical="center" wrapText="1"/>
    </xf>
    <xf numFmtId="0" fontId="55" fillId="0" borderId="46" xfId="0" applyFont="1" applyFill="1" applyBorder="1" applyAlignment="1">
      <alignment horizontal="left" vertical="center" wrapText="1"/>
    </xf>
    <xf numFmtId="0" fontId="25" fillId="0" borderId="47" xfId="0" applyFont="1" applyFill="1" applyBorder="1" applyAlignment="1">
      <alignment horizontal="center" vertical="center" wrapText="1"/>
    </xf>
    <xf numFmtId="0" fontId="25" fillId="0" borderId="48" xfId="0" applyFont="1" applyFill="1" applyBorder="1" applyAlignment="1" applyProtection="1">
      <alignment horizontal="center" vertical="center"/>
      <protection/>
    </xf>
    <xf numFmtId="0" fontId="25" fillId="0" borderId="49" xfId="0" applyFont="1" applyFill="1" applyBorder="1" applyAlignment="1" applyProtection="1">
      <alignment horizontal="center" vertical="center"/>
      <protection/>
    </xf>
    <xf numFmtId="0" fontId="25" fillId="0" borderId="50" xfId="0" applyFont="1" applyFill="1" applyBorder="1" applyAlignment="1" applyProtection="1">
      <alignment horizontal="center" vertical="center"/>
      <protection/>
    </xf>
    <xf numFmtId="0" fontId="57" fillId="0" borderId="48" xfId="0" applyFont="1" applyFill="1" applyBorder="1" applyAlignment="1" applyProtection="1">
      <alignment horizontal="center" vertical="center"/>
      <protection/>
    </xf>
    <xf numFmtId="0" fontId="0" fillId="0" borderId="48" xfId="0" applyFont="1" applyFill="1" applyBorder="1" applyAlignment="1" applyProtection="1">
      <alignment horizontal="center" vertical="center"/>
      <protection/>
    </xf>
    <xf numFmtId="0" fontId="25" fillId="0" borderId="51" xfId="0" applyFont="1" applyFill="1" applyBorder="1" applyAlignment="1" applyProtection="1">
      <alignment horizontal="center" vertical="center"/>
      <protection/>
    </xf>
    <xf numFmtId="0" fontId="55" fillId="0" borderId="52" xfId="0" applyFont="1" applyFill="1" applyBorder="1" applyAlignment="1">
      <alignment horizontal="center" vertical="center" wrapText="1"/>
    </xf>
    <xf numFmtId="0" fontId="55" fillId="0" borderId="48" xfId="0" applyFont="1" applyFill="1" applyBorder="1" applyAlignment="1">
      <alignment horizontal="center" vertical="center" wrapText="1"/>
    </xf>
    <xf numFmtId="0" fontId="55" fillId="0" borderId="49" xfId="0" applyFont="1" applyFill="1" applyBorder="1" applyAlignment="1">
      <alignment horizontal="center" vertical="center" wrapText="1"/>
    </xf>
    <xf numFmtId="0" fontId="55" fillId="0" borderId="50" xfId="0" applyFont="1" applyFill="1" applyBorder="1" applyAlignment="1">
      <alignment horizontal="center" vertical="center" wrapText="1"/>
    </xf>
    <xf numFmtId="0" fontId="25" fillId="0" borderId="48" xfId="0" applyFont="1" applyBorder="1" applyAlignment="1" applyProtection="1">
      <alignment horizontal="center" vertical="center" shrinkToFit="1"/>
      <protection locked="0"/>
    </xf>
    <xf numFmtId="0" fontId="25" fillId="0" borderId="49" xfId="0" applyFont="1" applyBorder="1" applyAlignment="1" applyProtection="1">
      <alignment horizontal="center" vertical="center" shrinkToFit="1"/>
      <protection locked="0"/>
    </xf>
    <xf numFmtId="0" fontId="24" fillId="0" borderId="48" xfId="0" applyFont="1" applyFill="1" applyBorder="1" applyAlignment="1" applyProtection="1">
      <alignment horizontal="center" vertical="center"/>
      <protection locked="0"/>
    </xf>
    <xf numFmtId="0" fontId="25" fillId="0" borderId="48" xfId="0" applyFont="1" applyFill="1" applyBorder="1" applyAlignment="1" applyProtection="1">
      <alignment horizontal="center" vertical="center"/>
      <protection locked="0"/>
    </xf>
    <xf numFmtId="0" fontId="25" fillId="0" borderId="48" xfId="0" applyFont="1" applyFill="1" applyBorder="1" applyAlignment="1">
      <alignment horizontal="center" vertical="center" wrapText="1"/>
    </xf>
    <xf numFmtId="0" fontId="55" fillId="0" borderId="51" xfId="0" applyFont="1" applyFill="1" applyBorder="1" applyAlignment="1">
      <alignment horizontal="center" vertical="center" wrapText="1"/>
    </xf>
    <xf numFmtId="0" fontId="25" fillId="0" borderId="48" xfId="0" applyFont="1" applyFill="1" applyBorder="1" applyAlignment="1">
      <alignment horizontal="left" vertical="center" wrapText="1"/>
    </xf>
    <xf numFmtId="2" fontId="34" fillId="0" borderId="17" xfId="0" applyNumberFormat="1" applyFont="1" applyBorder="1" applyAlignment="1">
      <alignment horizontal="center" vertical="center"/>
    </xf>
    <xf numFmtId="2" fontId="55" fillId="0" borderId="17" xfId="0" applyNumberFormat="1" applyFont="1" applyFill="1" applyBorder="1" applyAlignment="1">
      <alignment horizontal="center" vertical="center" wrapText="1"/>
    </xf>
    <xf numFmtId="0" fontId="55" fillId="0" borderId="53" xfId="0" applyFont="1" applyFill="1" applyBorder="1" applyAlignment="1">
      <alignment horizontal="center" vertical="center" wrapText="1"/>
    </xf>
    <xf numFmtId="0" fontId="55" fillId="0" borderId="54" xfId="0" applyFont="1" applyFill="1" applyBorder="1" applyAlignment="1">
      <alignment horizontal="center" vertical="center" wrapText="1"/>
    </xf>
    <xf numFmtId="0" fontId="55" fillId="0" borderId="55" xfId="0" applyFont="1" applyFill="1" applyBorder="1" applyAlignment="1">
      <alignment horizontal="center" vertical="center" wrapText="1"/>
    </xf>
    <xf numFmtId="0" fontId="55" fillId="0" borderId="56" xfId="0" applyFont="1" applyFill="1" applyBorder="1" applyAlignment="1">
      <alignment horizontal="left" vertical="center" wrapText="1"/>
    </xf>
    <xf numFmtId="0" fontId="55" fillId="0" borderId="57" xfId="0" applyFont="1" applyFill="1" applyBorder="1" applyAlignment="1">
      <alignment horizontal="left" vertical="center" wrapText="1"/>
    </xf>
    <xf numFmtId="0" fontId="25" fillId="0" borderId="14" xfId="0" applyFont="1" applyBorder="1" applyAlignment="1">
      <alignment vertical="center" wrapText="1"/>
    </xf>
    <xf numFmtId="0" fontId="34" fillId="0" borderId="40" xfId="0" applyFont="1" applyFill="1" applyBorder="1" applyAlignment="1">
      <alignment horizontal="center" vertical="center"/>
    </xf>
    <xf numFmtId="1" fontId="34" fillId="0" borderId="13" xfId="0" applyNumberFormat="1" applyFont="1" applyFill="1" applyBorder="1" applyAlignment="1">
      <alignment horizontal="center" vertical="center" wrapText="1"/>
    </xf>
    <xf numFmtId="1" fontId="34" fillId="0" borderId="13" xfId="0" applyNumberFormat="1" applyFont="1" applyFill="1" applyBorder="1" applyAlignment="1">
      <alignment vertical="center" wrapText="1"/>
    </xf>
    <xf numFmtId="0" fontId="34" fillId="0" borderId="13" xfId="0" applyFont="1" applyFill="1" applyBorder="1" applyAlignment="1">
      <alignment horizontal="left" vertical="center"/>
    </xf>
    <xf numFmtId="0" fontId="25" fillId="0" borderId="47" xfId="0" applyFont="1" applyFill="1" applyBorder="1" applyAlignment="1" applyProtection="1">
      <alignment horizontal="center" vertical="center"/>
      <protection/>
    </xf>
    <xf numFmtId="175" fontId="22" fillId="24" borderId="58" xfId="0" applyNumberFormat="1" applyFont="1" applyFill="1" applyBorder="1" applyAlignment="1" applyProtection="1">
      <alignment horizontal="center" vertical="center" textRotation="90" shrinkToFit="1"/>
      <protection locked="0"/>
    </xf>
    <xf numFmtId="0" fontId="22" fillId="24" borderId="44" xfId="0" applyFont="1" applyFill="1" applyBorder="1" applyAlignment="1" applyProtection="1">
      <alignment horizontal="center" vertical="center" textRotation="90" wrapText="1"/>
      <protection locked="0"/>
    </xf>
    <xf numFmtId="0" fontId="22" fillId="24" borderId="44" xfId="0" applyFont="1" applyFill="1" applyBorder="1" applyAlignment="1" applyProtection="1">
      <alignment horizontal="center" vertical="center" textRotation="90" shrinkToFit="1"/>
      <protection locked="0"/>
    </xf>
    <xf numFmtId="49" fontId="39" fillId="24" borderId="44" xfId="0" applyNumberFormat="1" applyFont="1" applyFill="1" applyBorder="1" applyAlignment="1" applyProtection="1">
      <alignment horizontal="center" vertical="center"/>
      <protection locked="0"/>
    </xf>
    <xf numFmtId="0" fontId="22" fillId="24" borderId="44" xfId="0" applyFont="1" applyFill="1" applyBorder="1" applyAlignment="1" applyProtection="1">
      <alignment horizontal="center" vertical="center" textRotation="90"/>
      <protection locked="0"/>
    </xf>
    <xf numFmtId="0" fontId="22" fillId="24" borderId="59" xfId="0" applyFont="1" applyFill="1" applyBorder="1" applyAlignment="1" applyProtection="1">
      <alignment horizontal="center" vertical="center" textRotation="90" wrapText="1"/>
      <protection locked="0"/>
    </xf>
    <xf numFmtId="0" fontId="22" fillId="24" borderId="41" xfId="0" applyFont="1" applyFill="1" applyBorder="1" applyAlignment="1" applyProtection="1">
      <alignment horizontal="center" vertical="center" textRotation="90" wrapText="1"/>
      <protection locked="0"/>
    </xf>
    <xf numFmtId="0" fontId="22" fillId="24" borderId="44" xfId="0" applyFont="1" applyFill="1" applyBorder="1" applyAlignment="1" applyProtection="1">
      <alignment horizontal="center" vertical="center" textRotation="90" wrapText="1" shrinkToFit="1"/>
      <protection locked="0"/>
    </xf>
    <xf numFmtId="2" fontId="22" fillId="24" borderId="44" xfId="0" applyNumberFormat="1" applyFont="1" applyFill="1" applyBorder="1" applyAlignment="1" applyProtection="1">
      <alignment horizontal="center" vertical="center" wrapText="1"/>
      <protection locked="0"/>
    </xf>
    <xf numFmtId="2" fontId="55" fillId="0" borderId="19" xfId="0" applyNumberFormat="1" applyFont="1" applyFill="1" applyBorder="1" applyAlignment="1">
      <alignment horizontal="center" vertical="center" wrapText="1"/>
    </xf>
    <xf numFmtId="175" fontId="25" fillId="0" borderId="60" xfId="0" applyNumberFormat="1" applyFont="1" applyFill="1" applyBorder="1" applyAlignment="1">
      <alignment horizontal="center" vertical="center" wrapText="1"/>
    </xf>
    <xf numFmtId="0" fontId="25" fillId="0" borderId="47" xfId="0" applyFont="1" applyFill="1" applyBorder="1" applyAlignment="1">
      <alignment horizontal="left" vertical="center" wrapText="1"/>
    </xf>
    <xf numFmtId="0" fontId="25" fillId="0" borderId="61" xfId="0" applyFont="1" applyFill="1" applyBorder="1" applyAlignment="1">
      <alignment horizontal="center" vertical="center" wrapText="1"/>
    </xf>
    <xf numFmtId="175" fontId="25" fillId="0" borderId="17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175" fontId="25" fillId="0" borderId="22" xfId="0" applyNumberFormat="1" applyFont="1" applyFill="1" applyBorder="1" applyAlignment="1">
      <alignment horizontal="center" vertical="center" wrapText="1"/>
    </xf>
    <xf numFmtId="2" fontId="55" fillId="0" borderId="22" xfId="0" applyNumberFormat="1" applyFont="1" applyFill="1" applyBorder="1" applyAlignment="1">
      <alignment horizontal="center" vertical="center" wrapText="1"/>
    </xf>
    <xf numFmtId="3" fontId="33" fillId="25" borderId="41" xfId="0" applyNumberFormat="1" applyFont="1" applyFill="1" applyBorder="1" applyAlignment="1" applyProtection="1">
      <alignment horizontal="center" vertical="center"/>
      <protection hidden="1"/>
    </xf>
    <xf numFmtId="0" fontId="25" fillId="0" borderId="62" xfId="0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center" vertical="center"/>
      <protection/>
    </xf>
    <xf numFmtId="0" fontId="58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54" fillId="0" borderId="0" xfId="0" applyFont="1" applyFill="1" applyAlignment="1" applyProtection="1">
      <alignment horizontal="center" vertical="center"/>
      <protection/>
    </xf>
    <xf numFmtId="0" fontId="25" fillId="0" borderId="49" xfId="0" applyFont="1" applyFill="1" applyBorder="1" applyAlignment="1">
      <alignment horizontal="center" vertical="center" wrapText="1"/>
    </xf>
    <xf numFmtId="0" fontId="55" fillId="0" borderId="17" xfId="0" applyFont="1" applyFill="1" applyBorder="1" applyAlignment="1">
      <alignment horizontal="center" vertical="center" wrapText="1"/>
    </xf>
    <xf numFmtId="4" fontId="55" fillId="0" borderId="22" xfId="0" applyNumberFormat="1" applyFont="1" applyFill="1" applyBorder="1" applyAlignment="1">
      <alignment horizontal="center" vertical="center" wrapText="1"/>
    </xf>
    <xf numFmtId="2" fontId="55" fillId="0" borderId="18" xfId="0" applyNumberFormat="1" applyFont="1" applyFill="1" applyBorder="1" applyAlignment="1">
      <alignment horizontal="center" vertical="center" wrapText="1"/>
    </xf>
    <xf numFmtId="49" fontId="41" fillId="25" borderId="59" xfId="0" applyNumberFormat="1" applyFont="1" applyFill="1" applyBorder="1" applyAlignment="1" applyProtection="1">
      <alignment horizontal="center" vertical="center"/>
      <protection hidden="1"/>
    </xf>
    <xf numFmtId="49" fontId="41" fillId="25" borderId="63" xfId="0" applyNumberFormat="1" applyFont="1" applyFill="1" applyBorder="1" applyAlignment="1" applyProtection="1">
      <alignment horizontal="center" vertical="center"/>
      <protection hidden="1"/>
    </xf>
    <xf numFmtId="49" fontId="41" fillId="25" borderId="64" xfId="0" applyNumberFormat="1" applyFont="1" applyFill="1" applyBorder="1" applyAlignment="1" applyProtection="1">
      <alignment horizontal="center" vertical="center"/>
      <protection hidden="1"/>
    </xf>
    <xf numFmtId="49" fontId="36" fillId="24" borderId="59" xfId="0" applyNumberFormat="1" applyFont="1" applyFill="1" applyBorder="1" applyAlignment="1" applyProtection="1">
      <alignment horizontal="center" vertical="center"/>
      <protection hidden="1"/>
    </xf>
    <xf numFmtId="49" fontId="36" fillId="24" borderId="63" xfId="0" applyNumberFormat="1" applyFont="1" applyFill="1" applyBorder="1" applyAlignment="1" applyProtection="1">
      <alignment horizontal="center" vertical="center"/>
      <protection hidden="1"/>
    </xf>
    <xf numFmtId="49" fontId="36" fillId="24" borderId="64" xfId="0" applyNumberFormat="1" applyFont="1" applyFill="1" applyBorder="1" applyAlignment="1" applyProtection="1">
      <alignment horizontal="center" vertical="center"/>
      <protection hidden="1"/>
    </xf>
    <xf numFmtId="0" fontId="33" fillId="0" borderId="0" xfId="0" applyNumberFormat="1" applyFont="1" applyAlignment="1" applyProtection="1">
      <alignment horizontal="center" vertical="center"/>
      <protection hidden="1"/>
    </xf>
    <xf numFmtId="14" fontId="42" fillId="0" borderId="0" xfId="0" applyNumberFormat="1" applyFont="1" applyAlignment="1" applyProtection="1">
      <alignment horizontal="center" vertical="center"/>
      <protection hidden="1"/>
    </xf>
    <xf numFmtId="0" fontId="42" fillId="0" borderId="0" xfId="0" applyNumberFormat="1" applyFont="1" applyAlignment="1" applyProtection="1">
      <alignment horizontal="center" vertical="center"/>
      <protection hidden="1"/>
    </xf>
    <xf numFmtId="0" fontId="42" fillId="0" borderId="65" xfId="0" applyNumberFormat="1" applyFont="1" applyBorder="1" applyAlignment="1" applyProtection="1">
      <alignment horizontal="center" vertical="center"/>
      <protection hidden="1"/>
    </xf>
    <xf numFmtId="0" fontId="35" fillId="25" borderId="66" xfId="0" applyFont="1" applyFill="1" applyBorder="1" applyAlignment="1" applyProtection="1">
      <alignment horizontal="right" vertical="center"/>
      <protection/>
    </xf>
    <xf numFmtId="0" fontId="35" fillId="25" borderId="64" xfId="0" applyFont="1" applyFill="1" applyBorder="1" applyAlignment="1" applyProtection="1">
      <alignment horizontal="right" vertical="center"/>
      <protection/>
    </xf>
    <xf numFmtId="0" fontId="35" fillId="25" borderId="59" xfId="0" applyFont="1" applyFill="1" applyBorder="1" applyAlignment="1" applyProtection="1">
      <alignment horizontal="center" vertical="center"/>
      <protection/>
    </xf>
    <xf numFmtId="0" fontId="35" fillId="25" borderId="63" xfId="0" applyFont="1" applyFill="1" applyBorder="1" applyAlignment="1" applyProtection="1">
      <alignment horizontal="center" vertical="center"/>
      <protection/>
    </xf>
    <xf numFmtId="0" fontId="35" fillId="25" borderId="43" xfId="0" applyFont="1" applyFill="1" applyBorder="1" applyAlignment="1" applyProtection="1">
      <alignment horizontal="center" vertical="center"/>
      <protection/>
    </xf>
    <xf numFmtId="0" fontId="33" fillId="25" borderId="66" xfId="0" applyFont="1" applyFill="1" applyBorder="1" applyAlignment="1" applyProtection="1">
      <alignment horizontal="center" vertical="top"/>
      <protection/>
    </xf>
    <xf numFmtId="0" fontId="33" fillId="25" borderId="63" xfId="0" applyFont="1" applyFill="1" applyBorder="1" applyAlignment="1" applyProtection="1">
      <alignment horizontal="center" vertical="top"/>
      <protection/>
    </xf>
    <xf numFmtId="0" fontId="33" fillId="25" borderId="64" xfId="0" applyFont="1" applyFill="1" applyBorder="1" applyAlignment="1" applyProtection="1">
      <alignment horizontal="center" vertical="top"/>
      <protection/>
    </xf>
    <xf numFmtId="0" fontId="37" fillId="0" borderId="0" xfId="0" applyFont="1" applyFill="1" applyAlignment="1" applyProtection="1">
      <alignment horizontal="left" vertical="center"/>
      <protection/>
    </xf>
    <xf numFmtId="0" fontId="37" fillId="0" borderId="0" xfId="0" applyFont="1" applyFill="1" applyBorder="1" applyAlignment="1" applyProtection="1">
      <alignment horizontal="left" vertical="center"/>
      <protection/>
    </xf>
    <xf numFmtId="3" fontId="33" fillId="26" borderId="67" xfId="0" applyNumberFormat="1" applyFont="1" applyFill="1" applyBorder="1" applyAlignment="1" applyProtection="1">
      <alignment horizontal="center" vertical="center"/>
      <protection/>
    </xf>
    <xf numFmtId="0" fontId="33" fillId="26" borderId="68" xfId="0" applyFont="1" applyFill="1" applyBorder="1" applyAlignment="1" applyProtection="1">
      <alignment horizontal="center" vertical="center"/>
      <protection/>
    </xf>
    <xf numFmtId="0" fontId="33" fillId="26" borderId="69" xfId="0" applyFont="1" applyFill="1" applyBorder="1" applyAlignment="1" applyProtection="1">
      <alignment horizontal="center" vertical="center"/>
      <protection/>
    </xf>
    <xf numFmtId="0" fontId="33" fillId="26" borderId="70" xfId="0" applyFont="1" applyFill="1" applyBorder="1" applyAlignment="1" applyProtection="1">
      <alignment horizontal="center" vertical="center"/>
      <protection/>
    </xf>
    <xf numFmtId="0" fontId="33" fillId="26" borderId="65" xfId="0" applyFont="1" applyFill="1" applyBorder="1" applyAlignment="1" applyProtection="1">
      <alignment horizontal="center" vertical="center"/>
      <protection/>
    </xf>
    <xf numFmtId="0" fontId="33" fillId="26" borderId="71" xfId="0" applyFont="1" applyFill="1" applyBorder="1" applyAlignment="1" applyProtection="1">
      <alignment horizontal="center" vertical="center"/>
      <protection/>
    </xf>
    <xf numFmtId="0" fontId="35" fillId="25" borderId="59" xfId="0" applyFont="1" applyFill="1" applyBorder="1" applyAlignment="1" applyProtection="1">
      <alignment horizontal="center" vertical="top"/>
      <protection/>
    </xf>
    <xf numFmtId="0" fontId="35" fillId="25" borderId="63" xfId="0" applyFont="1" applyFill="1" applyBorder="1" applyAlignment="1" applyProtection="1">
      <alignment horizontal="center" vertical="top"/>
      <protection/>
    </xf>
    <xf numFmtId="0" fontId="35" fillId="25" borderId="43" xfId="0" applyFont="1" applyFill="1" applyBorder="1" applyAlignment="1" applyProtection="1">
      <alignment horizontal="center" vertical="top"/>
      <protection/>
    </xf>
    <xf numFmtId="0" fontId="33" fillId="24" borderId="66" xfId="0" applyFont="1" applyFill="1" applyBorder="1" applyAlignment="1" applyProtection="1">
      <alignment horizontal="center" vertical="top"/>
      <protection/>
    </xf>
    <xf numFmtId="0" fontId="33" fillId="24" borderId="63" xfId="0" applyFont="1" applyFill="1" applyBorder="1" applyAlignment="1" applyProtection="1">
      <alignment horizontal="center" vertical="top"/>
      <protection/>
    </xf>
    <xf numFmtId="0" fontId="33" fillId="24" borderId="64" xfId="0" applyFont="1" applyFill="1" applyBorder="1" applyAlignment="1" applyProtection="1">
      <alignment horizontal="center" vertical="top"/>
      <protection/>
    </xf>
    <xf numFmtId="0" fontId="43" fillId="25" borderId="66" xfId="0" applyFont="1" applyFill="1" applyBorder="1" applyAlignment="1" applyProtection="1">
      <alignment horizontal="center" vertical="center" wrapText="1"/>
      <protection locked="0"/>
    </xf>
    <xf numFmtId="0" fontId="43" fillId="25" borderId="63" xfId="0" applyFont="1" applyFill="1" applyBorder="1" applyAlignment="1" applyProtection="1">
      <alignment horizontal="center" vertical="center" wrapText="1"/>
      <protection locked="0"/>
    </xf>
    <xf numFmtId="0" fontId="43" fillId="25" borderId="64" xfId="0" applyFont="1" applyFill="1" applyBorder="1" applyAlignment="1" applyProtection="1">
      <alignment horizontal="center" vertical="center" wrapText="1"/>
      <protection locked="0"/>
    </xf>
    <xf numFmtId="0" fontId="35" fillId="25" borderId="59" xfId="0" applyFont="1" applyFill="1" applyBorder="1" applyAlignment="1" applyProtection="1">
      <alignment horizontal="right" vertical="center"/>
      <protection hidden="1"/>
    </xf>
    <xf numFmtId="0" fontId="35" fillId="25" borderId="63" xfId="0" applyFont="1" applyFill="1" applyBorder="1" applyAlignment="1" applyProtection="1">
      <alignment horizontal="right" vertical="center"/>
      <protection hidden="1"/>
    </xf>
    <xf numFmtId="0" fontId="35" fillId="25" borderId="64" xfId="0" applyFont="1" applyFill="1" applyBorder="1" applyAlignment="1" applyProtection="1">
      <alignment horizontal="right" vertical="center"/>
      <protection hidden="1"/>
    </xf>
    <xf numFmtId="0" fontId="43" fillId="25" borderId="66" xfId="0" applyFont="1" applyFill="1" applyBorder="1" applyAlignment="1" applyProtection="1">
      <alignment horizontal="center" vertical="top" wrapText="1"/>
      <protection locked="0"/>
    </xf>
    <xf numFmtId="0" fontId="43" fillId="25" borderId="63" xfId="0" applyFont="1" applyFill="1" applyBorder="1" applyAlignment="1" applyProtection="1">
      <alignment horizontal="center" vertical="top" wrapText="1"/>
      <protection locked="0"/>
    </xf>
    <xf numFmtId="0" fontId="43" fillId="25" borderId="64" xfId="0" applyFont="1" applyFill="1" applyBorder="1" applyAlignment="1" applyProtection="1">
      <alignment horizontal="center" vertical="top" wrapText="1"/>
      <protection locked="0"/>
    </xf>
    <xf numFmtId="0" fontId="43" fillId="25" borderId="66" xfId="0" applyFont="1" applyFill="1" applyBorder="1" applyAlignment="1" applyProtection="1">
      <alignment horizontal="center" vertical="center"/>
      <protection locked="0"/>
    </xf>
    <xf numFmtId="0" fontId="43" fillId="25" borderId="63" xfId="0" applyFont="1" applyFill="1" applyBorder="1" applyAlignment="1" applyProtection="1">
      <alignment horizontal="center" vertical="center"/>
      <protection locked="0"/>
    </xf>
    <xf numFmtId="0" fontId="43" fillId="25" borderId="64" xfId="0" applyFont="1" applyFill="1" applyBorder="1" applyAlignment="1" applyProtection="1">
      <alignment horizontal="center" vertical="center"/>
      <protection locked="0"/>
    </xf>
    <xf numFmtId="0" fontId="43" fillId="25" borderId="67" xfId="0" applyFont="1" applyFill="1" applyBorder="1" applyAlignment="1" applyProtection="1">
      <alignment horizontal="center" vertical="top" wrapText="1"/>
      <protection locked="0"/>
    </xf>
    <xf numFmtId="0" fontId="43" fillId="25" borderId="68" xfId="0" applyFont="1" applyFill="1" applyBorder="1" applyAlignment="1" applyProtection="1">
      <alignment horizontal="center" vertical="top" wrapText="1"/>
      <protection locked="0"/>
    </xf>
    <xf numFmtId="0" fontId="43" fillId="25" borderId="72" xfId="0" applyFont="1" applyFill="1" applyBorder="1" applyAlignment="1" applyProtection="1">
      <alignment horizontal="center" vertical="top" wrapText="1"/>
      <protection locked="0"/>
    </xf>
    <xf numFmtId="0" fontId="38" fillId="0" borderId="0" xfId="0" applyNumberFormat="1" applyFont="1" applyAlignment="1" applyProtection="1">
      <alignment horizontal="center" vertical="center"/>
      <protection hidden="1"/>
    </xf>
    <xf numFmtId="0" fontId="36" fillId="0" borderId="0" xfId="0" applyNumberFormat="1" applyFont="1" applyAlignment="1" applyProtection="1">
      <alignment horizontal="left" vertical="center"/>
      <protection hidden="1"/>
    </xf>
    <xf numFmtId="175" fontId="36" fillId="0" borderId="65" xfId="0" applyNumberFormat="1" applyFont="1" applyBorder="1" applyAlignment="1" applyProtection="1">
      <alignment horizontal="left" vertical="center"/>
      <protection hidden="1"/>
    </xf>
    <xf numFmtId="0" fontId="36" fillId="0" borderId="65" xfId="0" applyNumberFormat="1" applyFont="1" applyBorder="1" applyAlignment="1" applyProtection="1">
      <alignment horizontal="left" vertical="center"/>
      <protection hidden="1"/>
    </xf>
    <xf numFmtId="3" fontId="33" fillId="26" borderId="67" xfId="0" applyNumberFormat="1" applyFont="1" applyFill="1" applyBorder="1" applyAlignment="1" applyProtection="1">
      <alignment horizontal="center" vertical="center" shrinkToFit="1"/>
      <protection hidden="1"/>
    </xf>
    <xf numFmtId="0" fontId="38" fillId="26" borderId="68" xfId="0" applyFont="1" applyFill="1" applyBorder="1" applyAlignment="1">
      <alignment horizontal="center" vertical="center"/>
    </xf>
    <xf numFmtId="0" fontId="38" fillId="26" borderId="69" xfId="0" applyFont="1" applyFill="1" applyBorder="1" applyAlignment="1">
      <alignment horizontal="center" vertical="center"/>
    </xf>
    <xf numFmtId="0" fontId="38" fillId="26" borderId="70" xfId="0" applyFont="1" applyFill="1" applyBorder="1" applyAlignment="1">
      <alignment horizontal="center" vertical="center"/>
    </xf>
    <xf numFmtId="0" fontId="38" fillId="26" borderId="65" xfId="0" applyFont="1" applyFill="1" applyBorder="1" applyAlignment="1">
      <alignment horizontal="center" vertical="center"/>
    </xf>
    <xf numFmtId="0" fontId="38" fillId="26" borderId="71" xfId="0" applyFont="1" applyFill="1" applyBorder="1" applyAlignment="1">
      <alignment horizontal="center" vertical="center"/>
    </xf>
    <xf numFmtId="0" fontId="43" fillId="25" borderId="73" xfId="0" applyFont="1" applyFill="1" applyBorder="1" applyAlignment="1" applyProtection="1">
      <alignment horizontal="center" vertical="top" wrapText="1"/>
      <protection locked="0"/>
    </xf>
    <xf numFmtId="0" fontId="20" fillId="0" borderId="0" xfId="0" applyFont="1" applyFill="1" applyBorder="1" applyAlignment="1" applyProtection="1">
      <alignment horizontal="center" vertical="center"/>
      <protection hidden="1"/>
    </xf>
    <xf numFmtId="0" fontId="31" fillId="0" borderId="0" xfId="0" applyFont="1" applyFill="1" applyBorder="1" applyAlignment="1" applyProtection="1">
      <alignment horizontal="center" vertical="center"/>
      <protection hidden="1"/>
    </xf>
    <xf numFmtId="0" fontId="27" fillId="0" borderId="0" xfId="0" applyFont="1" applyFill="1" applyBorder="1" applyAlignment="1" applyProtection="1">
      <alignment horizontal="center" vertical="center"/>
      <protection hidden="1"/>
    </xf>
    <xf numFmtId="0" fontId="33" fillId="0" borderId="0" xfId="0" applyNumberFormat="1" applyFont="1" applyAlignment="1" applyProtection="1">
      <alignment horizontal="center" vertical="center" wrapText="1"/>
      <protection hidden="1"/>
    </xf>
  </cellXfs>
  <cellStyles count="932">
    <cellStyle name="Normal" xfId="0"/>
    <cellStyle name="20% — акцент1" xfId="15"/>
    <cellStyle name="20% - Акцент1 2" xfId="16"/>
    <cellStyle name="20% - Акцент1 2 2" xfId="17"/>
    <cellStyle name="20% - Акцент1 2 3" xfId="18"/>
    <cellStyle name="20% - Акцент1 2 4" xfId="19"/>
    <cellStyle name="20% - Акцент1 3" xfId="20"/>
    <cellStyle name="20% - Акцент1 4" xfId="21"/>
    <cellStyle name="20% - Акцент1 5" xfId="22"/>
    <cellStyle name="20% - Акцент1 6" xfId="23"/>
    <cellStyle name="20% - Акцент1 7" xfId="24"/>
    <cellStyle name="20% - Акцент1 8" xfId="25"/>
    <cellStyle name="20% — акцент2" xfId="26"/>
    <cellStyle name="20% - Акцент2 2" xfId="27"/>
    <cellStyle name="20% - Акцент2 2 2" xfId="28"/>
    <cellStyle name="20% - Акцент2 2 3" xfId="29"/>
    <cellStyle name="20% - Акцент2 2 4" xfId="30"/>
    <cellStyle name="20% - Акцент2 3" xfId="31"/>
    <cellStyle name="20% - Акцент2 4" xfId="32"/>
    <cellStyle name="20% - Акцент2 5" xfId="33"/>
    <cellStyle name="20% - Акцент2 6" xfId="34"/>
    <cellStyle name="20% - Акцент2 7" xfId="35"/>
    <cellStyle name="20% - Акцент2 8" xfId="36"/>
    <cellStyle name="20% — акцент3" xfId="37"/>
    <cellStyle name="20% - Акцент3 2" xfId="38"/>
    <cellStyle name="20% - Акцент3 2 2" xfId="39"/>
    <cellStyle name="20% - Акцент3 2 3" xfId="40"/>
    <cellStyle name="20% - Акцент3 2 4" xfId="41"/>
    <cellStyle name="20% - Акцент3 3" xfId="42"/>
    <cellStyle name="20% - Акцент3 4" xfId="43"/>
    <cellStyle name="20% - Акцент3 5" xfId="44"/>
    <cellStyle name="20% - Акцент3 6" xfId="45"/>
    <cellStyle name="20% - Акцент3 7" xfId="46"/>
    <cellStyle name="20% - Акцент3 8" xfId="47"/>
    <cellStyle name="20% — акцент4" xfId="48"/>
    <cellStyle name="20% - Акцент4 2" xfId="49"/>
    <cellStyle name="20% - Акцент4 2 2" xfId="50"/>
    <cellStyle name="20% - Акцент4 2 3" xfId="51"/>
    <cellStyle name="20% - Акцент4 2 4" xfId="52"/>
    <cellStyle name="20% - Акцент4 3" xfId="53"/>
    <cellStyle name="20% - Акцент4 4" xfId="54"/>
    <cellStyle name="20% - Акцент4 5" xfId="55"/>
    <cellStyle name="20% - Акцент4 6" xfId="56"/>
    <cellStyle name="20% - Акцент4 7" xfId="57"/>
    <cellStyle name="20% - Акцент4 8" xfId="58"/>
    <cellStyle name="20% — акцент5" xfId="59"/>
    <cellStyle name="20% - Акцент5 2" xfId="60"/>
    <cellStyle name="20% - Акцент5 2 2" xfId="61"/>
    <cellStyle name="20% - Акцент5 2 3" xfId="62"/>
    <cellStyle name="20% - Акцент5 2 4" xfId="63"/>
    <cellStyle name="20% - Акцент5 3" xfId="64"/>
    <cellStyle name="20% - Акцент5 4" xfId="65"/>
    <cellStyle name="20% - Акцент5 5" xfId="66"/>
    <cellStyle name="20% - Акцент5 6" xfId="67"/>
    <cellStyle name="20% - Акцент5 7" xfId="68"/>
    <cellStyle name="20% - Акцент5 8" xfId="69"/>
    <cellStyle name="20% — акцент6" xfId="70"/>
    <cellStyle name="20% - Акцент6 2" xfId="71"/>
    <cellStyle name="20% - Акцент6 2 2" xfId="72"/>
    <cellStyle name="20% - Акцент6 2 3" xfId="73"/>
    <cellStyle name="20% - Акцент6 2 4" xfId="74"/>
    <cellStyle name="20% - Акцент6 3" xfId="75"/>
    <cellStyle name="20% - Акцент6 4" xfId="76"/>
    <cellStyle name="20% - Акцент6 5" xfId="77"/>
    <cellStyle name="20% - Акцент6 6" xfId="78"/>
    <cellStyle name="20% - Акцент6 7" xfId="79"/>
    <cellStyle name="20% - Акцент6 8" xfId="80"/>
    <cellStyle name="40% — акцент1" xfId="81"/>
    <cellStyle name="40% - Акцент1 2" xfId="82"/>
    <cellStyle name="40% - Акцент1 2 2" xfId="83"/>
    <cellStyle name="40% - Акцент1 2 3" xfId="84"/>
    <cellStyle name="40% - Акцент1 2 4" xfId="85"/>
    <cellStyle name="40% - Акцент1 3" xfId="86"/>
    <cellStyle name="40% - Акцент1 4" xfId="87"/>
    <cellStyle name="40% - Акцент1 5" xfId="88"/>
    <cellStyle name="40% - Акцент1 6" xfId="89"/>
    <cellStyle name="40% - Акцент1 7" xfId="90"/>
    <cellStyle name="40% - Акцент1 8" xfId="91"/>
    <cellStyle name="40% — акцент2" xfId="92"/>
    <cellStyle name="40% - Акцент2 2" xfId="93"/>
    <cellStyle name="40% - Акцент2 2 2" xfId="94"/>
    <cellStyle name="40% - Акцент2 2 3" xfId="95"/>
    <cellStyle name="40% - Акцент2 2 4" xfId="96"/>
    <cellStyle name="40% - Акцент2 3" xfId="97"/>
    <cellStyle name="40% - Акцент2 4" xfId="98"/>
    <cellStyle name="40% - Акцент2 5" xfId="99"/>
    <cellStyle name="40% - Акцент2 6" xfId="100"/>
    <cellStyle name="40% - Акцент2 7" xfId="101"/>
    <cellStyle name="40% - Акцент2 8" xfId="102"/>
    <cellStyle name="40% — акцент3" xfId="103"/>
    <cellStyle name="40% - Акцент3 2" xfId="104"/>
    <cellStyle name="40% - Акцент3 2 2" xfId="105"/>
    <cellStyle name="40% - Акцент3 2 3" xfId="106"/>
    <cellStyle name="40% - Акцент3 2 4" xfId="107"/>
    <cellStyle name="40% - Акцент3 3" xfId="108"/>
    <cellStyle name="40% - Акцент3 4" xfId="109"/>
    <cellStyle name="40% - Акцент3 5" xfId="110"/>
    <cellStyle name="40% - Акцент3 6" xfId="111"/>
    <cellStyle name="40% - Акцент3 7" xfId="112"/>
    <cellStyle name="40% - Акцент3 8" xfId="113"/>
    <cellStyle name="40% — акцент4" xfId="114"/>
    <cellStyle name="40% - Акцент4 2" xfId="115"/>
    <cellStyle name="40% - Акцент4 2 2" xfId="116"/>
    <cellStyle name="40% - Акцент4 2 3" xfId="117"/>
    <cellStyle name="40% - Акцент4 2 4" xfId="118"/>
    <cellStyle name="40% - Акцент4 3" xfId="119"/>
    <cellStyle name="40% - Акцент4 4" xfId="120"/>
    <cellStyle name="40% - Акцент4 5" xfId="121"/>
    <cellStyle name="40% - Акцент4 6" xfId="122"/>
    <cellStyle name="40% - Акцент4 7" xfId="123"/>
    <cellStyle name="40% - Акцент4 8" xfId="124"/>
    <cellStyle name="40% — акцент5" xfId="125"/>
    <cellStyle name="40% - Акцент5 2" xfId="126"/>
    <cellStyle name="40% - Акцент5 2 2" xfId="127"/>
    <cellStyle name="40% - Акцент5 2 3" xfId="128"/>
    <cellStyle name="40% - Акцент5 2 4" xfId="129"/>
    <cellStyle name="40% - Акцент5 3" xfId="130"/>
    <cellStyle name="40% - Акцент5 4" xfId="131"/>
    <cellStyle name="40% - Акцент5 5" xfId="132"/>
    <cellStyle name="40% - Акцент5 6" xfId="133"/>
    <cellStyle name="40% - Акцент5 7" xfId="134"/>
    <cellStyle name="40% - Акцент5 8" xfId="135"/>
    <cellStyle name="40% — акцент6" xfId="136"/>
    <cellStyle name="40% - Акцент6 2" xfId="137"/>
    <cellStyle name="40% - Акцент6 2 2" xfId="138"/>
    <cellStyle name="40% - Акцент6 2 3" xfId="139"/>
    <cellStyle name="40% - Акцент6 2 4" xfId="140"/>
    <cellStyle name="40% - Акцент6 3" xfId="141"/>
    <cellStyle name="40% - Акцент6 4" xfId="142"/>
    <cellStyle name="40% - Акцент6 5" xfId="143"/>
    <cellStyle name="40% - Акцент6 6" xfId="144"/>
    <cellStyle name="40% - Акцент6 7" xfId="145"/>
    <cellStyle name="40% - Акцент6 8" xfId="146"/>
    <cellStyle name="60% — акцент1" xfId="147"/>
    <cellStyle name="60% - Акцент1 2" xfId="148"/>
    <cellStyle name="60% - Акцент1 2 2" xfId="149"/>
    <cellStyle name="60% - Акцент1 2 3" xfId="150"/>
    <cellStyle name="60% - Акцент1 2 4" xfId="151"/>
    <cellStyle name="60% - Акцент1 3" xfId="152"/>
    <cellStyle name="60% - Акцент1 4" xfId="153"/>
    <cellStyle name="60% - Акцент1 5" xfId="154"/>
    <cellStyle name="60% - Акцент1 6" xfId="155"/>
    <cellStyle name="60% - Акцент1 7" xfId="156"/>
    <cellStyle name="60% - Акцент1 8" xfId="157"/>
    <cellStyle name="60% — акцент2" xfId="158"/>
    <cellStyle name="60% - Акцент2 2" xfId="159"/>
    <cellStyle name="60% - Акцент2 2 2" xfId="160"/>
    <cellStyle name="60% - Акцент2 2 3" xfId="161"/>
    <cellStyle name="60% - Акцент2 2 4" xfId="162"/>
    <cellStyle name="60% - Акцент2 3" xfId="163"/>
    <cellStyle name="60% - Акцент2 4" xfId="164"/>
    <cellStyle name="60% - Акцент2 5" xfId="165"/>
    <cellStyle name="60% - Акцент2 6" xfId="166"/>
    <cellStyle name="60% - Акцент2 7" xfId="167"/>
    <cellStyle name="60% - Акцент2 8" xfId="168"/>
    <cellStyle name="60% — акцент3" xfId="169"/>
    <cellStyle name="60% - Акцент3 2" xfId="170"/>
    <cellStyle name="60% - Акцент3 2 2" xfId="171"/>
    <cellStyle name="60% - Акцент3 2 3" xfId="172"/>
    <cellStyle name="60% - Акцент3 2 4" xfId="173"/>
    <cellStyle name="60% - Акцент3 3" xfId="174"/>
    <cellStyle name="60% - Акцент3 4" xfId="175"/>
    <cellStyle name="60% - Акцент3 5" xfId="176"/>
    <cellStyle name="60% - Акцент3 6" xfId="177"/>
    <cellStyle name="60% - Акцент3 7" xfId="178"/>
    <cellStyle name="60% - Акцент3 8" xfId="179"/>
    <cellStyle name="60% — акцент4" xfId="180"/>
    <cellStyle name="60% - Акцент4 2" xfId="181"/>
    <cellStyle name="60% - Акцент4 2 2" xfId="182"/>
    <cellStyle name="60% - Акцент4 2 3" xfId="183"/>
    <cellStyle name="60% - Акцент4 2 4" xfId="184"/>
    <cellStyle name="60% - Акцент4 3" xfId="185"/>
    <cellStyle name="60% - Акцент4 4" xfId="186"/>
    <cellStyle name="60% - Акцент4 5" xfId="187"/>
    <cellStyle name="60% - Акцент4 6" xfId="188"/>
    <cellStyle name="60% - Акцент4 7" xfId="189"/>
    <cellStyle name="60% - Акцент4 8" xfId="190"/>
    <cellStyle name="60% — акцент5" xfId="191"/>
    <cellStyle name="60% - Акцент5 2" xfId="192"/>
    <cellStyle name="60% - Акцент5 2 2" xfId="193"/>
    <cellStyle name="60% - Акцент5 2 3" xfId="194"/>
    <cellStyle name="60% - Акцент5 2 4" xfId="195"/>
    <cellStyle name="60% - Акцент5 3" xfId="196"/>
    <cellStyle name="60% - Акцент5 4" xfId="197"/>
    <cellStyle name="60% - Акцент5 5" xfId="198"/>
    <cellStyle name="60% - Акцент5 6" xfId="199"/>
    <cellStyle name="60% - Акцент5 7" xfId="200"/>
    <cellStyle name="60% - Акцент5 8" xfId="201"/>
    <cellStyle name="60% — акцент6" xfId="202"/>
    <cellStyle name="60% - Акцент6 2" xfId="203"/>
    <cellStyle name="60% - Акцент6 2 2" xfId="204"/>
    <cellStyle name="60% - Акцент6 2 3" xfId="205"/>
    <cellStyle name="60% - Акцент6 2 4" xfId="206"/>
    <cellStyle name="60% - Акцент6 3" xfId="207"/>
    <cellStyle name="60% - Акцент6 4" xfId="208"/>
    <cellStyle name="60% - Акцент6 5" xfId="209"/>
    <cellStyle name="60% - Акцент6 6" xfId="210"/>
    <cellStyle name="60% - Акцент6 7" xfId="211"/>
    <cellStyle name="60% - Акцент6 8" xfId="212"/>
    <cellStyle name="Excel Built-in Normal 3" xfId="213"/>
    <cellStyle name="Normal_Данные_по_АЗС  Вис-сервис" xfId="214"/>
    <cellStyle name="Акцент1" xfId="215"/>
    <cellStyle name="Акцент1 2" xfId="216"/>
    <cellStyle name="Акцент1 2 2" xfId="217"/>
    <cellStyle name="Акцент1 2 3" xfId="218"/>
    <cellStyle name="Акцент1 2 4" xfId="219"/>
    <cellStyle name="Акцент1 3" xfId="220"/>
    <cellStyle name="Акцент1 4" xfId="221"/>
    <cellStyle name="Акцент1 5" xfId="222"/>
    <cellStyle name="Акцент1 6" xfId="223"/>
    <cellStyle name="Акцент1 7" xfId="224"/>
    <cellStyle name="Акцент1 8" xfId="225"/>
    <cellStyle name="Акцент2" xfId="226"/>
    <cellStyle name="Акцент2 2" xfId="227"/>
    <cellStyle name="Акцент2 2 2" xfId="228"/>
    <cellStyle name="Акцент2 2 3" xfId="229"/>
    <cellStyle name="Акцент2 2 4" xfId="230"/>
    <cellStyle name="Акцент2 3" xfId="231"/>
    <cellStyle name="Акцент2 4" xfId="232"/>
    <cellStyle name="Акцент2 5" xfId="233"/>
    <cellStyle name="Акцент2 6" xfId="234"/>
    <cellStyle name="Акцент2 7" xfId="235"/>
    <cellStyle name="Акцент2 8" xfId="236"/>
    <cellStyle name="Акцент3" xfId="237"/>
    <cellStyle name="Акцент3 2" xfId="238"/>
    <cellStyle name="Акцент3 2 2" xfId="239"/>
    <cellStyle name="Акцент3 2 3" xfId="240"/>
    <cellStyle name="Акцент3 2 4" xfId="241"/>
    <cellStyle name="Акцент3 3" xfId="242"/>
    <cellStyle name="Акцент3 4" xfId="243"/>
    <cellStyle name="Акцент3 5" xfId="244"/>
    <cellStyle name="Акцент3 6" xfId="245"/>
    <cellStyle name="Акцент3 7" xfId="246"/>
    <cellStyle name="Акцент3 8" xfId="247"/>
    <cellStyle name="Акцент4" xfId="248"/>
    <cellStyle name="Акцент4 2" xfId="249"/>
    <cellStyle name="Акцент4 2 2" xfId="250"/>
    <cellStyle name="Акцент4 2 3" xfId="251"/>
    <cellStyle name="Акцент4 2 4" xfId="252"/>
    <cellStyle name="Акцент4 3" xfId="253"/>
    <cellStyle name="Акцент4 4" xfId="254"/>
    <cellStyle name="Акцент4 5" xfId="255"/>
    <cellStyle name="Акцент4 6" xfId="256"/>
    <cellStyle name="Акцент4 7" xfId="257"/>
    <cellStyle name="Акцент4 8" xfId="258"/>
    <cellStyle name="Акцент5" xfId="259"/>
    <cellStyle name="Акцент5 2" xfId="260"/>
    <cellStyle name="Акцент5 2 2" xfId="261"/>
    <cellStyle name="Акцент5 2 3" xfId="262"/>
    <cellStyle name="Акцент5 2 4" xfId="263"/>
    <cellStyle name="Акцент5 3" xfId="264"/>
    <cellStyle name="Акцент5 4" xfId="265"/>
    <cellStyle name="Акцент5 5" xfId="266"/>
    <cellStyle name="Акцент5 6" xfId="267"/>
    <cellStyle name="Акцент5 7" xfId="268"/>
    <cellStyle name="Акцент5 8" xfId="269"/>
    <cellStyle name="Акцент6" xfId="270"/>
    <cellStyle name="Акцент6 2" xfId="271"/>
    <cellStyle name="Акцент6 2 2" xfId="272"/>
    <cellStyle name="Акцент6 2 3" xfId="273"/>
    <cellStyle name="Акцент6 2 4" xfId="274"/>
    <cellStyle name="Акцент6 3" xfId="275"/>
    <cellStyle name="Акцент6 4" xfId="276"/>
    <cellStyle name="Акцент6 5" xfId="277"/>
    <cellStyle name="Акцент6 6" xfId="278"/>
    <cellStyle name="Акцент6 7" xfId="279"/>
    <cellStyle name="Акцент6 8" xfId="280"/>
    <cellStyle name="Ввод " xfId="281"/>
    <cellStyle name="Ввод  2" xfId="282"/>
    <cellStyle name="Ввод  2 2" xfId="283"/>
    <cellStyle name="Ввод  2 3" xfId="284"/>
    <cellStyle name="Ввод  2 4" xfId="285"/>
    <cellStyle name="Ввод  3" xfId="286"/>
    <cellStyle name="Ввод  4" xfId="287"/>
    <cellStyle name="Ввод  5" xfId="288"/>
    <cellStyle name="Ввод  6" xfId="289"/>
    <cellStyle name="Ввод  7" xfId="290"/>
    <cellStyle name="Ввод  8" xfId="291"/>
    <cellStyle name="Вывод" xfId="292"/>
    <cellStyle name="Вывод 2" xfId="293"/>
    <cellStyle name="Вывод 2 2" xfId="294"/>
    <cellStyle name="Вывод 2 3" xfId="295"/>
    <cellStyle name="Вывод 2 4" xfId="296"/>
    <cellStyle name="Вывод 3" xfId="297"/>
    <cellStyle name="Вывод 4" xfId="298"/>
    <cellStyle name="Вывод 5" xfId="299"/>
    <cellStyle name="Вывод 6" xfId="300"/>
    <cellStyle name="Вывод 7" xfId="301"/>
    <cellStyle name="Вывод 8" xfId="302"/>
    <cellStyle name="Вычисление" xfId="303"/>
    <cellStyle name="Вычисление 2" xfId="304"/>
    <cellStyle name="Вычисление 2 2" xfId="305"/>
    <cellStyle name="Вычисление 2 3" xfId="306"/>
    <cellStyle name="Вычисление 2 4" xfId="307"/>
    <cellStyle name="Вычисление 3" xfId="308"/>
    <cellStyle name="Вычисление 4" xfId="309"/>
    <cellStyle name="Вычисление 5" xfId="310"/>
    <cellStyle name="Вычисление 6" xfId="311"/>
    <cellStyle name="Вычисление 7" xfId="312"/>
    <cellStyle name="Вычисление 8" xfId="313"/>
    <cellStyle name="Hyperlink" xfId="314"/>
    <cellStyle name="Currency" xfId="315"/>
    <cellStyle name="Currency [0]" xfId="316"/>
    <cellStyle name="Заголовок 1" xfId="317"/>
    <cellStyle name="Заголовок 1 2" xfId="318"/>
    <cellStyle name="Заголовок 1 2 2" xfId="319"/>
    <cellStyle name="Заголовок 1 2 3" xfId="320"/>
    <cellStyle name="Заголовок 1 2 4" xfId="321"/>
    <cellStyle name="Заголовок 1 3" xfId="322"/>
    <cellStyle name="Заголовок 1 4" xfId="323"/>
    <cellStyle name="Заголовок 1 5" xfId="324"/>
    <cellStyle name="Заголовок 1 6" xfId="325"/>
    <cellStyle name="Заголовок 1 7" xfId="326"/>
    <cellStyle name="Заголовок 1 8" xfId="327"/>
    <cellStyle name="Заголовок 2" xfId="328"/>
    <cellStyle name="Заголовок 2 2" xfId="329"/>
    <cellStyle name="Заголовок 2 2 2" xfId="330"/>
    <cellStyle name="Заголовок 2 2 3" xfId="331"/>
    <cellStyle name="Заголовок 2 2 4" xfId="332"/>
    <cellStyle name="Заголовок 2 3" xfId="333"/>
    <cellStyle name="Заголовок 2 4" xfId="334"/>
    <cellStyle name="Заголовок 2 5" xfId="335"/>
    <cellStyle name="Заголовок 2 6" xfId="336"/>
    <cellStyle name="Заголовок 2 7" xfId="337"/>
    <cellStyle name="Заголовок 2 8" xfId="338"/>
    <cellStyle name="Заголовок 3" xfId="339"/>
    <cellStyle name="Заголовок 3 2" xfId="340"/>
    <cellStyle name="Заголовок 3 2 2" xfId="341"/>
    <cellStyle name="Заголовок 3 2 3" xfId="342"/>
    <cellStyle name="Заголовок 3 2 4" xfId="343"/>
    <cellStyle name="Заголовок 3 3" xfId="344"/>
    <cellStyle name="Заголовок 3 4" xfId="345"/>
    <cellStyle name="Заголовок 3 5" xfId="346"/>
    <cellStyle name="Заголовок 3 6" xfId="347"/>
    <cellStyle name="Заголовок 3 7" xfId="348"/>
    <cellStyle name="Заголовок 3 8" xfId="349"/>
    <cellStyle name="Заголовок 4" xfId="350"/>
    <cellStyle name="Заголовок 4 2" xfId="351"/>
    <cellStyle name="Заголовок 4 2 2" xfId="352"/>
    <cellStyle name="Заголовок 4 2 3" xfId="353"/>
    <cellStyle name="Заголовок 4 2 4" xfId="354"/>
    <cellStyle name="Заголовок 4 3" xfId="355"/>
    <cellStyle name="Заголовок 4 4" xfId="356"/>
    <cellStyle name="Заголовок 4 5" xfId="357"/>
    <cellStyle name="Заголовок 4 6" xfId="358"/>
    <cellStyle name="Заголовок 4 7" xfId="359"/>
    <cellStyle name="Заголовок 4 8" xfId="360"/>
    <cellStyle name="Итог" xfId="361"/>
    <cellStyle name="Итог 2" xfId="362"/>
    <cellStyle name="Итог 2 2" xfId="363"/>
    <cellStyle name="Итог 2 3" xfId="364"/>
    <cellStyle name="Итог 2 4" xfId="365"/>
    <cellStyle name="Итог 3" xfId="366"/>
    <cellStyle name="Итог 4" xfId="367"/>
    <cellStyle name="Итог 5" xfId="368"/>
    <cellStyle name="Итог 6" xfId="369"/>
    <cellStyle name="Итог 7" xfId="370"/>
    <cellStyle name="Итог 8" xfId="371"/>
    <cellStyle name="Контрольная ячейка" xfId="372"/>
    <cellStyle name="Контрольная ячейка 2" xfId="373"/>
    <cellStyle name="Контрольная ячейка 2 2" xfId="374"/>
    <cellStyle name="Контрольная ячейка 2 3" xfId="375"/>
    <cellStyle name="Контрольная ячейка 2 4" xfId="376"/>
    <cellStyle name="Контрольная ячейка 3" xfId="377"/>
    <cellStyle name="Контрольная ячейка 4" xfId="378"/>
    <cellStyle name="Контрольная ячейка 5" xfId="379"/>
    <cellStyle name="Контрольная ячейка 6" xfId="380"/>
    <cellStyle name="Контрольная ячейка 7" xfId="381"/>
    <cellStyle name="Контрольная ячейка 8" xfId="382"/>
    <cellStyle name="Название" xfId="383"/>
    <cellStyle name="Название 2" xfId="384"/>
    <cellStyle name="Название 2 2" xfId="385"/>
    <cellStyle name="Название 2 3" xfId="386"/>
    <cellStyle name="Название 2 4" xfId="387"/>
    <cellStyle name="Название 3" xfId="388"/>
    <cellStyle name="Название 4" xfId="389"/>
    <cellStyle name="Название 5" xfId="390"/>
    <cellStyle name="Название 6" xfId="391"/>
    <cellStyle name="Название 7" xfId="392"/>
    <cellStyle name="Название 8" xfId="393"/>
    <cellStyle name="Нейтральный" xfId="394"/>
    <cellStyle name="Нейтральный 2" xfId="395"/>
    <cellStyle name="Нейтральный 2 2" xfId="396"/>
    <cellStyle name="Нейтральный 2 3" xfId="397"/>
    <cellStyle name="Нейтральный 2 4" xfId="398"/>
    <cellStyle name="Нейтральный 3" xfId="399"/>
    <cellStyle name="Нейтральный 4" xfId="400"/>
    <cellStyle name="Нейтральный 5" xfId="401"/>
    <cellStyle name="Нейтральный 6" xfId="402"/>
    <cellStyle name="Нейтральный 7" xfId="403"/>
    <cellStyle name="Нейтральный 8" xfId="404"/>
    <cellStyle name="Обычный 10" xfId="405"/>
    <cellStyle name="Обычный 10 2" xfId="406"/>
    <cellStyle name="Обычный 10 3" xfId="407"/>
    <cellStyle name="Обычный 100" xfId="408"/>
    <cellStyle name="Обычный 101" xfId="409"/>
    <cellStyle name="Обычный 102" xfId="410"/>
    <cellStyle name="Обычный 104" xfId="411"/>
    <cellStyle name="Обычный 106" xfId="412"/>
    <cellStyle name="Обычный 107" xfId="413"/>
    <cellStyle name="Обычный 108" xfId="414"/>
    <cellStyle name="Обычный 109" xfId="415"/>
    <cellStyle name="Обычный 11 2" xfId="416"/>
    <cellStyle name="Обычный 11 3" xfId="417"/>
    <cellStyle name="Обычный 110" xfId="418"/>
    <cellStyle name="Обычный 112" xfId="419"/>
    <cellStyle name="Обычный 113" xfId="420"/>
    <cellStyle name="Обычный 114" xfId="421"/>
    <cellStyle name="Обычный 115" xfId="422"/>
    <cellStyle name="Обычный 117" xfId="423"/>
    <cellStyle name="Обычный 118" xfId="424"/>
    <cellStyle name="Обычный 119" xfId="425"/>
    <cellStyle name="Обычный 12" xfId="426"/>
    <cellStyle name="Обычный 12 2" xfId="427"/>
    <cellStyle name="Обычный 12 3" xfId="428"/>
    <cellStyle name="Обычный 120" xfId="429"/>
    <cellStyle name="Обычный 122" xfId="430"/>
    <cellStyle name="Обычный 124" xfId="431"/>
    <cellStyle name="Обычный 125" xfId="432"/>
    <cellStyle name="Обычный 126" xfId="433"/>
    <cellStyle name="Обычный 127" xfId="434"/>
    <cellStyle name="Обычный 129" xfId="435"/>
    <cellStyle name="Обычный 13" xfId="436"/>
    <cellStyle name="Обычный 13 2" xfId="437"/>
    <cellStyle name="Обычный 13 3" xfId="438"/>
    <cellStyle name="Обычный 131" xfId="439"/>
    <cellStyle name="Обычный 133" xfId="440"/>
    <cellStyle name="Обычный 135" xfId="441"/>
    <cellStyle name="Обычный 136" xfId="442"/>
    <cellStyle name="Обычный 137" xfId="443"/>
    <cellStyle name="Обычный 139" xfId="444"/>
    <cellStyle name="Обычный 14 2" xfId="445"/>
    <cellStyle name="Обычный 14 3" xfId="446"/>
    <cellStyle name="Обычный 140" xfId="447"/>
    <cellStyle name="Обычный 142" xfId="448"/>
    <cellStyle name="Обычный 143" xfId="449"/>
    <cellStyle name="Обычный 145" xfId="450"/>
    <cellStyle name="Обычный 146" xfId="451"/>
    <cellStyle name="Обычный 147" xfId="452"/>
    <cellStyle name="Обычный 148" xfId="453"/>
    <cellStyle name="Обычный 149" xfId="454"/>
    <cellStyle name="Обычный 15 2" xfId="455"/>
    <cellStyle name="Обычный 15 3" xfId="456"/>
    <cellStyle name="Обычный 150" xfId="457"/>
    <cellStyle name="Обычный 151" xfId="458"/>
    <cellStyle name="Обычный 153" xfId="459"/>
    <cellStyle name="Обычный 154" xfId="460"/>
    <cellStyle name="Обычный 157" xfId="461"/>
    <cellStyle name="Обычный 158" xfId="462"/>
    <cellStyle name="Обычный 159" xfId="463"/>
    <cellStyle name="Обычный 16 2" xfId="464"/>
    <cellStyle name="Обычный 16 3" xfId="465"/>
    <cellStyle name="Обычный 165" xfId="466"/>
    <cellStyle name="Обычный 166" xfId="467"/>
    <cellStyle name="Обычный 167" xfId="468"/>
    <cellStyle name="Обычный 168" xfId="469"/>
    <cellStyle name="Обычный 169" xfId="470"/>
    <cellStyle name="Обычный 17" xfId="471"/>
    <cellStyle name="Обычный 17 2" xfId="472"/>
    <cellStyle name="Обычный 17 3" xfId="473"/>
    <cellStyle name="Обычный 170" xfId="474"/>
    <cellStyle name="Обычный 171" xfId="475"/>
    <cellStyle name="Обычный 172" xfId="476"/>
    <cellStyle name="Обычный 173" xfId="477"/>
    <cellStyle name="Обычный 174" xfId="478"/>
    <cellStyle name="Обычный 175" xfId="479"/>
    <cellStyle name="Обычный 176" xfId="480"/>
    <cellStyle name="Обычный 177" xfId="481"/>
    <cellStyle name="Обычный 178" xfId="482"/>
    <cellStyle name="Обычный 179" xfId="483"/>
    <cellStyle name="Обычный 18" xfId="484"/>
    <cellStyle name="Обычный 18 2" xfId="485"/>
    <cellStyle name="Обычный 18 3" xfId="486"/>
    <cellStyle name="Обычный 180" xfId="487"/>
    <cellStyle name="Обычный 181" xfId="488"/>
    <cellStyle name="Обычный 182" xfId="489"/>
    <cellStyle name="Обычный 183" xfId="490"/>
    <cellStyle name="Обычный 184" xfId="491"/>
    <cellStyle name="Обычный 185" xfId="492"/>
    <cellStyle name="Обычный 186" xfId="493"/>
    <cellStyle name="Обычный 189" xfId="494"/>
    <cellStyle name="Обычный 19" xfId="495"/>
    <cellStyle name="Обычный 19 2" xfId="496"/>
    <cellStyle name="Обычный 19 3" xfId="497"/>
    <cellStyle name="Обычный 190" xfId="498"/>
    <cellStyle name="Обычный 191" xfId="499"/>
    <cellStyle name="Обычный 192" xfId="500"/>
    <cellStyle name="Обычный 193" xfId="501"/>
    <cellStyle name="Обычный 194" xfId="502"/>
    <cellStyle name="Обычный 195" xfId="503"/>
    <cellStyle name="Обычный 196" xfId="504"/>
    <cellStyle name="Обычный 197" xfId="505"/>
    <cellStyle name="Обычный 198" xfId="506"/>
    <cellStyle name="Обычный 199" xfId="507"/>
    <cellStyle name="Обычный 2" xfId="508"/>
    <cellStyle name="Обычный 2 10" xfId="509"/>
    <cellStyle name="Обычный 2 11" xfId="510"/>
    <cellStyle name="Обычный 2 12" xfId="511"/>
    <cellStyle name="Обычный 2 13" xfId="512"/>
    <cellStyle name="Обычный 2 14" xfId="513"/>
    <cellStyle name="Обычный 2 15" xfId="514"/>
    <cellStyle name="Обычный 2 16" xfId="515"/>
    <cellStyle name="Обычный 2 17" xfId="516"/>
    <cellStyle name="Обычный 2 18" xfId="517"/>
    <cellStyle name="Обычный 2 19" xfId="518"/>
    <cellStyle name="Обычный 2 2" xfId="519"/>
    <cellStyle name="Обычный 2 2 10" xfId="520"/>
    <cellStyle name="Обычный 2 2 11" xfId="521"/>
    <cellStyle name="Обычный 2 2 12" xfId="522"/>
    <cellStyle name="Обычный 2 2 13" xfId="523"/>
    <cellStyle name="Обычный 2 2 14" xfId="524"/>
    <cellStyle name="Обычный 2 2 15" xfId="525"/>
    <cellStyle name="Обычный 2 2 16" xfId="526"/>
    <cellStyle name="Обычный 2 2 17" xfId="527"/>
    <cellStyle name="Обычный 2 2 18" xfId="528"/>
    <cellStyle name="Обычный 2 2 19" xfId="529"/>
    <cellStyle name="Обычный 2 2 2" xfId="530"/>
    <cellStyle name="Обычный 2 2 2 2" xfId="531"/>
    <cellStyle name="Обычный 2 2 2 2 2" xfId="532"/>
    <cellStyle name="Обычный 2 2 2 3" xfId="533"/>
    <cellStyle name="Обычный 2 2 2 4" xfId="534"/>
    <cellStyle name="Обычный 2 2 20" xfId="535"/>
    <cellStyle name="Обычный 2 2 21" xfId="536"/>
    <cellStyle name="Обычный 2 2 22" xfId="537"/>
    <cellStyle name="Обычный 2 2 23" xfId="538"/>
    <cellStyle name="Обычный 2 2 24" xfId="539"/>
    <cellStyle name="Обычный 2 2 25" xfId="540"/>
    <cellStyle name="Обычный 2 2 26" xfId="541"/>
    <cellStyle name="Обычный 2 2 27" xfId="542"/>
    <cellStyle name="Обычный 2 2 28" xfId="543"/>
    <cellStyle name="Обычный 2 2 29" xfId="544"/>
    <cellStyle name="Обычный 2 2 3" xfId="545"/>
    <cellStyle name="Обычный 2 2 3 2" xfId="546"/>
    <cellStyle name="Обычный 2 2 30" xfId="547"/>
    <cellStyle name="Обычный 2 2 31" xfId="548"/>
    <cellStyle name="Обычный 2 2 32" xfId="549"/>
    <cellStyle name="Обычный 2 2 33" xfId="550"/>
    <cellStyle name="Обычный 2 2 34" xfId="551"/>
    <cellStyle name="Обычный 2 2 35" xfId="552"/>
    <cellStyle name="Обычный 2 2 36" xfId="553"/>
    <cellStyle name="Обычный 2 2 37" xfId="554"/>
    <cellStyle name="Обычный 2 2 38" xfId="555"/>
    <cellStyle name="Обычный 2 2 39" xfId="556"/>
    <cellStyle name="Обычный 2 2 4" xfId="557"/>
    <cellStyle name="Обычный 2 2 40" xfId="558"/>
    <cellStyle name="Обычный 2 2 41" xfId="559"/>
    <cellStyle name="Обычный 2 2 42" xfId="560"/>
    <cellStyle name="Обычный 2 2 43" xfId="561"/>
    <cellStyle name="Обычный 2 2 44" xfId="562"/>
    <cellStyle name="Обычный 2 2 45" xfId="563"/>
    <cellStyle name="Обычный 2 2 46" xfId="564"/>
    <cellStyle name="Обычный 2 2 47" xfId="565"/>
    <cellStyle name="Обычный 2 2 48" xfId="566"/>
    <cellStyle name="Обычный 2 2 49" xfId="567"/>
    <cellStyle name="Обычный 2 2 5" xfId="568"/>
    <cellStyle name="Обычный 2 2 50" xfId="569"/>
    <cellStyle name="Обычный 2 2 51" xfId="570"/>
    <cellStyle name="Обычный 2 2 52" xfId="571"/>
    <cellStyle name="Обычный 2 2 53" xfId="572"/>
    <cellStyle name="Обычный 2 2 54" xfId="573"/>
    <cellStyle name="Обычный 2 2 55" xfId="574"/>
    <cellStyle name="Обычный 2 2 56" xfId="575"/>
    <cellStyle name="Обычный 2 2 57" xfId="576"/>
    <cellStyle name="Обычный 2 2 58" xfId="577"/>
    <cellStyle name="Обычный 2 2 59" xfId="578"/>
    <cellStyle name="Обычный 2 2 6" xfId="579"/>
    <cellStyle name="Обычный 2 2 60" xfId="580"/>
    <cellStyle name="Обычный 2 2 61" xfId="581"/>
    <cellStyle name="Обычный 2 2 62" xfId="582"/>
    <cellStyle name="Обычный 2 2 63" xfId="583"/>
    <cellStyle name="Обычный 2 2 64" xfId="584"/>
    <cellStyle name="Обычный 2 2 65" xfId="585"/>
    <cellStyle name="Обычный 2 2 66" xfId="586"/>
    <cellStyle name="Обычный 2 2 67" xfId="587"/>
    <cellStyle name="Обычный 2 2 68" xfId="588"/>
    <cellStyle name="Обычный 2 2 69" xfId="589"/>
    <cellStyle name="Обычный 2 2 7" xfId="590"/>
    <cellStyle name="Обычный 2 2 70" xfId="591"/>
    <cellStyle name="Обычный 2 2 71" xfId="592"/>
    <cellStyle name="Обычный 2 2 72" xfId="593"/>
    <cellStyle name="Обычный 2 2 73" xfId="594"/>
    <cellStyle name="Обычный 2 2 74" xfId="595"/>
    <cellStyle name="Обычный 2 2 75" xfId="596"/>
    <cellStyle name="Обычный 2 2 76" xfId="597"/>
    <cellStyle name="Обычный 2 2 77" xfId="598"/>
    <cellStyle name="Обычный 2 2 78" xfId="599"/>
    <cellStyle name="Обычный 2 2 79" xfId="600"/>
    <cellStyle name="Обычный 2 2 8" xfId="601"/>
    <cellStyle name="Обычный 2 2 80" xfId="602"/>
    <cellStyle name="Обычный 2 2 9" xfId="603"/>
    <cellStyle name="Обычный 2 20" xfId="604"/>
    <cellStyle name="Обычный 2 21" xfId="605"/>
    <cellStyle name="Обычный 2 22" xfId="606"/>
    <cellStyle name="Обычный 2 23" xfId="607"/>
    <cellStyle name="Обычный 2 24" xfId="608"/>
    <cellStyle name="Обычный 2 25" xfId="609"/>
    <cellStyle name="Обычный 2 26" xfId="610"/>
    <cellStyle name="Обычный 2 27" xfId="611"/>
    <cellStyle name="Обычный 2 28" xfId="612"/>
    <cellStyle name="Обычный 2 29" xfId="613"/>
    <cellStyle name="Обычный 2 3" xfId="614"/>
    <cellStyle name="Обычный 2 30" xfId="615"/>
    <cellStyle name="Обычный 2 31" xfId="616"/>
    <cellStyle name="Обычный 2 32" xfId="617"/>
    <cellStyle name="Обычный 2 33" xfId="618"/>
    <cellStyle name="Обычный 2 34" xfId="619"/>
    <cellStyle name="Обычный 2 35" xfId="620"/>
    <cellStyle name="Обычный 2 36" xfId="621"/>
    <cellStyle name="Обычный 2 37" xfId="622"/>
    <cellStyle name="Обычный 2 38" xfId="623"/>
    <cellStyle name="Обычный 2 39" xfId="624"/>
    <cellStyle name="Обычный 2 4" xfId="625"/>
    <cellStyle name="Обычный 2 40" xfId="626"/>
    <cellStyle name="Обычный 2 41" xfId="627"/>
    <cellStyle name="Обычный 2 42" xfId="628"/>
    <cellStyle name="Обычный 2 43" xfId="629"/>
    <cellStyle name="Обычный 2 44" xfId="630"/>
    <cellStyle name="Обычный 2 45" xfId="631"/>
    <cellStyle name="Обычный 2 46" xfId="632"/>
    <cellStyle name="Обычный 2 47" xfId="633"/>
    <cellStyle name="Обычный 2 48" xfId="634"/>
    <cellStyle name="Обычный 2 49" xfId="635"/>
    <cellStyle name="Обычный 2 5" xfId="636"/>
    <cellStyle name="Обычный 2 50" xfId="637"/>
    <cellStyle name="Обычный 2 51" xfId="638"/>
    <cellStyle name="Обычный 2 52" xfId="639"/>
    <cellStyle name="Обычный 2 53" xfId="640"/>
    <cellStyle name="Обычный 2 54" xfId="641"/>
    <cellStyle name="Обычный 2 55" xfId="642"/>
    <cellStyle name="Обычный 2 56" xfId="643"/>
    <cellStyle name="Обычный 2 57" xfId="644"/>
    <cellStyle name="Обычный 2 58" xfId="645"/>
    <cellStyle name="Обычный 2 59" xfId="646"/>
    <cellStyle name="Обычный 2 6" xfId="647"/>
    <cellStyle name="Обычный 2 60" xfId="648"/>
    <cellStyle name="Обычный 2 61" xfId="649"/>
    <cellStyle name="Обычный 2 62" xfId="650"/>
    <cellStyle name="Обычный 2 63" xfId="651"/>
    <cellStyle name="Обычный 2 64" xfId="652"/>
    <cellStyle name="Обычный 2 65" xfId="653"/>
    <cellStyle name="Обычный 2 66" xfId="654"/>
    <cellStyle name="Обычный 2 67" xfId="655"/>
    <cellStyle name="Обычный 2 68" xfId="656"/>
    <cellStyle name="Обычный 2 69" xfId="657"/>
    <cellStyle name="Обычный 2 7" xfId="658"/>
    <cellStyle name="Обычный 2 7 2" xfId="659"/>
    <cellStyle name="Обычный 2 70" xfId="660"/>
    <cellStyle name="Обычный 2 71" xfId="661"/>
    <cellStyle name="Обычный 2 72" xfId="662"/>
    <cellStyle name="Обычный 2 73" xfId="663"/>
    <cellStyle name="Обычный 2 74" xfId="664"/>
    <cellStyle name="Обычный 2 75" xfId="665"/>
    <cellStyle name="Обычный 2 76" xfId="666"/>
    <cellStyle name="Обычный 2 77" xfId="667"/>
    <cellStyle name="Обычный 2 78" xfId="668"/>
    <cellStyle name="Обычный 2 79" xfId="669"/>
    <cellStyle name="Обычный 2 8" xfId="670"/>
    <cellStyle name="Обычный 2 80" xfId="671"/>
    <cellStyle name="Обычный 2 81" xfId="672"/>
    <cellStyle name="Обычный 2 82" xfId="673"/>
    <cellStyle name="Обычный 2 83" xfId="674"/>
    <cellStyle name="Обычный 2 84" xfId="675"/>
    <cellStyle name="Обычный 2 9" xfId="676"/>
    <cellStyle name="Обычный 20" xfId="677"/>
    <cellStyle name="Обычный 20 2" xfId="678"/>
    <cellStyle name="Обычный 20 3" xfId="679"/>
    <cellStyle name="Обычный 200" xfId="680"/>
    <cellStyle name="Обычный 201" xfId="681"/>
    <cellStyle name="Обычный 202" xfId="682"/>
    <cellStyle name="Обычный 203" xfId="683"/>
    <cellStyle name="Обычный 204" xfId="684"/>
    <cellStyle name="Обычный 205" xfId="685"/>
    <cellStyle name="Обычный 206" xfId="686"/>
    <cellStyle name="Обычный 208" xfId="687"/>
    <cellStyle name="Обычный 209" xfId="688"/>
    <cellStyle name="Обычный 21" xfId="689"/>
    <cellStyle name="Обычный 21 2" xfId="690"/>
    <cellStyle name="Обычный 21 3" xfId="691"/>
    <cellStyle name="Обычный 210" xfId="692"/>
    <cellStyle name="Обычный 211" xfId="693"/>
    <cellStyle name="Обычный 212" xfId="694"/>
    <cellStyle name="Обычный 213" xfId="695"/>
    <cellStyle name="Обычный 214" xfId="696"/>
    <cellStyle name="Обычный 215" xfId="697"/>
    <cellStyle name="Обычный 218" xfId="698"/>
    <cellStyle name="Обычный 219" xfId="699"/>
    <cellStyle name="Обычный 22" xfId="700"/>
    <cellStyle name="Обычный 22 2" xfId="701"/>
    <cellStyle name="Обычный 22 3" xfId="702"/>
    <cellStyle name="Обычный 220" xfId="703"/>
    <cellStyle name="Обычный 221" xfId="704"/>
    <cellStyle name="Обычный 222" xfId="705"/>
    <cellStyle name="Обычный 223" xfId="706"/>
    <cellStyle name="Обычный 224" xfId="707"/>
    <cellStyle name="Обычный 225" xfId="708"/>
    <cellStyle name="Обычный 226" xfId="709"/>
    <cellStyle name="Обычный 227" xfId="710"/>
    <cellStyle name="Обычный 228" xfId="711"/>
    <cellStyle name="Обычный 229" xfId="712"/>
    <cellStyle name="Обычный 23" xfId="713"/>
    <cellStyle name="Обычный 23 2" xfId="714"/>
    <cellStyle name="Обычный 23 3" xfId="715"/>
    <cellStyle name="Обычный 230" xfId="716"/>
    <cellStyle name="Обычный 231" xfId="717"/>
    <cellStyle name="Обычный 232" xfId="718"/>
    <cellStyle name="Обычный 233" xfId="719"/>
    <cellStyle name="Обычный 234" xfId="720"/>
    <cellStyle name="Обычный 235" xfId="721"/>
    <cellStyle name="Обычный 236" xfId="722"/>
    <cellStyle name="Обычный 237" xfId="723"/>
    <cellStyle name="Обычный 238" xfId="724"/>
    <cellStyle name="Обычный 239" xfId="725"/>
    <cellStyle name="Обычный 24 2" xfId="726"/>
    <cellStyle name="Обычный 24 3" xfId="727"/>
    <cellStyle name="Обычный 240" xfId="728"/>
    <cellStyle name="Обычный 241" xfId="729"/>
    <cellStyle name="Обычный 242" xfId="730"/>
    <cellStyle name="Обычный 243" xfId="731"/>
    <cellStyle name="Обычный 244" xfId="732"/>
    <cellStyle name="Обычный 245" xfId="733"/>
    <cellStyle name="Обычный 246" xfId="734"/>
    <cellStyle name="Обычный 247" xfId="735"/>
    <cellStyle name="Обычный 249" xfId="736"/>
    <cellStyle name="Обычный 25" xfId="737"/>
    <cellStyle name="Обычный 25 2" xfId="738"/>
    <cellStyle name="Обычный 25 3" xfId="739"/>
    <cellStyle name="Обычный 250" xfId="740"/>
    <cellStyle name="Обычный 26" xfId="741"/>
    <cellStyle name="Обычный 26 2" xfId="742"/>
    <cellStyle name="Обычный 26 3" xfId="743"/>
    <cellStyle name="Обычный 27" xfId="744"/>
    <cellStyle name="Обычный 27 2" xfId="745"/>
    <cellStyle name="Обычный 27 3" xfId="746"/>
    <cellStyle name="Обычный 28" xfId="747"/>
    <cellStyle name="Обычный 28 2" xfId="748"/>
    <cellStyle name="Обычный 28 3" xfId="749"/>
    <cellStyle name="Обычный 29 2" xfId="750"/>
    <cellStyle name="Обычный 29 3" xfId="751"/>
    <cellStyle name="Обычный 3 2" xfId="752"/>
    <cellStyle name="Обычный 3 3" xfId="753"/>
    <cellStyle name="Обычный 30 2" xfId="754"/>
    <cellStyle name="Обычный 30 3" xfId="755"/>
    <cellStyle name="Обычный 31 2" xfId="756"/>
    <cellStyle name="Обычный 31 3" xfId="757"/>
    <cellStyle name="Обычный 32 2" xfId="758"/>
    <cellStyle name="Обычный 32 3" xfId="759"/>
    <cellStyle name="Обычный 33 2" xfId="760"/>
    <cellStyle name="Обычный 33 3" xfId="761"/>
    <cellStyle name="Обычный 34 2" xfId="762"/>
    <cellStyle name="Обычный 34 3" xfId="763"/>
    <cellStyle name="Обычный 35 2" xfId="764"/>
    <cellStyle name="Обычный 35 3" xfId="765"/>
    <cellStyle name="Обычный 36 2" xfId="766"/>
    <cellStyle name="Обычный 36 3" xfId="767"/>
    <cellStyle name="Обычный 37 2" xfId="768"/>
    <cellStyle name="Обычный 37 3" xfId="769"/>
    <cellStyle name="Обычный 38 2" xfId="770"/>
    <cellStyle name="Обычный 38 3" xfId="771"/>
    <cellStyle name="Обычный 39 2" xfId="772"/>
    <cellStyle name="Обычный 4" xfId="773"/>
    <cellStyle name="Обычный 4 2" xfId="774"/>
    <cellStyle name="Обычный 4 3" xfId="775"/>
    <cellStyle name="Обычный 40 2" xfId="776"/>
    <cellStyle name="Обычный 40 3" xfId="777"/>
    <cellStyle name="Обычный 41 2" xfId="778"/>
    <cellStyle name="Обычный 41 3" xfId="779"/>
    <cellStyle name="Обычный 42 2" xfId="780"/>
    <cellStyle name="Обычный 42 3" xfId="781"/>
    <cellStyle name="Обычный 43 2" xfId="782"/>
    <cellStyle name="Обычный 43 3" xfId="783"/>
    <cellStyle name="Обычный 44 2" xfId="784"/>
    <cellStyle name="Обычный 44 3" xfId="785"/>
    <cellStyle name="Обычный 45 2" xfId="786"/>
    <cellStyle name="Обычный 45 3" xfId="787"/>
    <cellStyle name="Обычный 46 2" xfId="788"/>
    <cellStyle name="Обычный 46 3" xfId="789"/>
    <cellStyle name="Обычный 47 2" xfId="790"/>
    <cellStyle name="Обычный 47 3" xfId="791"/>
    <cellStyle name="Обычный 48 2" xfId="792"/>
    <cellStyle name="Обычный 48 3" xfId="793"/>
    <cellStyle name="Обычный 49" xfId="794"/>
    <cellStyle name="Обычный 49 2" xfId="795"/>
    <cellStyle name="Обычный 49 3" xfId="796"/>
    <cellStyle name="Обычный 5" xfId="797"/>
    <cellStyle name="Обычный 5 2" xfId="798"/>
    <cellStyle name="Обычный 5 3" xfId="799"/>
    <cellStyle name="Обычный 50" xfId="800"/>
    <cellStyle name="Обычный 50 2" xfId="801"/>
    <cellStyle name="Обычный 50 3" xfId="802"/>
    <cellStyle name="Обычный 51 2" xfId="803"/>
    <cellStyle name="Обычный 51 3" xfId="804"/>
    <cellStyle name="Обычный 52" xfId="805"/>
    <cellStyle name="Обычный 52 2" xfId="806"/>
    <cellStyle name="Обычный 52 3" xfId="807"/>
    <cellStyle name="Обычный 53 2" xfId="808"/>
    <cellStyle name="Обычный 53 3" xfId="809"/>
    <cellStyle name="Обычный 54 2" xfId="810"/>
    <cellStyle name="Обычный 54 3" xfId="811"/>
    <cellStyle name="Обычный 55 2" xfId="812"/>
    <cellStyle name="Обычный 55 3" xfId="813"/>
    <cellStyle name="Обычный 56 2" xfId="814"/>
    <cellStyle name="Обычный 56 3" xfId="815"/>
    <cellStyle name="Обычный 57 2" xfId="816"/>
    <cellStyle name="Обычный 57 3" xfId="817"/>
    <cellStyle name="Обычный 58 2" xfId="818"/>
    <cellStyle name="Обычный 58 3" xfId="819"/>
    <cellStyle name="Обычный 59 2" xfId="820"/>
    <cellStyle name="Обычный 59 3" xfId="821"/>
    <cellStyle name="Обычный 6 2" xfId="822"/>
    <cellStyle name="Обычный 6 3" xfId="823"/>
    <cellStyle name="Обычный 60 2" xfId="824"/>
    <cellStyle name="Обычный 60 3" xfId="825"/>
    <cellStyle name="Обычный 61 2" xfId="826"/>
    <cellStyle name="Обычный 61 3" xfId="827"/>
    <cellStyle name="Обычный 62 2" xfId="828"/>
    <cellStyle name="Обычный 62 3" xfId="829"/>
    <cellStyle name="Обычный 63 2" xfId="830"/>
    <cellStyle name="Обычный 64 2" xfId="831"/>
    <cellStyle name="Обычный 64 3" xfId="832"/>
    <cellStyle name="Обычный 65 2" xfId="833"/>
    <cellStyle name="Обычный 65 3" xfId="834"/>
    <cellStyle name="Обычный 66 2" xfId="835"/>
    <cellStyle name="Обычный 66 3" xfId="836"/>
    <cellStyle name="Обычный 67 2" xfId="837"/>
    <cellStyle name="Обычный 67 3" xfId="838"/>
    <cellStyle name="Обычный 68 2" xfId="839"/>
    <cellStyle name="Обычный 68 3" xfId="840"/>
    <cellStyle name="Обычный 69 2" xfId="841"/>
    <cellStyle name="Обычный 69 3" xfId="842"/>
    <cellStyle name="Обычный 7 2" xfId="843"/>
    <cellStyle name="Обычный 7 3" xfId="844"/>
    <cellStyle name="Обычный 70 2" xfId="845"/>
    <cellStyle name="Обычный 70 3" xfId="846"/>
    <cellStyle name="Обычный 71 2" xfId="847"/>
    <cellStyle name="Обычный 71 3" xfId="848"/>
    <cellStyle name="Обычный 72" xfId="849"/>
    <cellStyle name="Обычный 72 2" xfId="850"/>
    <cellStyle name="Обычный 72 3" xfId="851"/>
    <cellStyle name="Обычный 73 2" xfId="852"/>
    <cellStyle name="Обычный 73 3" xfId="853"/>
    <cellStyle name="Обычный 74 2" xfId="854"/>
    <cellStyle name="Обычный 74 3" xfId="855"/>
    <cellStyle name="Обычный 75 2" xfId="856"/>
    <cellStyle name="Обычный 75 3" xfId="857"/>
    <cellStyle name="Обычный 76 2" xfId="858"/>
    <cellStyle name="Обычный 78 2" xfId="859"/>
    <cellStyle name="Обычный 78 3" xfId="860"/>
    <cellStyle name="Обычный 79 2" xfId="861"/>
    <cellStyle name="Обычный 79 3" xfId="862"/>
    <cellStyle name="Обычный 8 2" xfId="863"/>
    <cellStyle name="Обычный 8 3" xfId="864"/>
    <cellStyle name="Обычный 9 2" xfId="865"/>
    <cellStyle name="Обычный 9 3" xfId="866"/>
    <cellStyle name="Обычный 91" xfId="867"/>
    <cellStyle name="Обычный 92" xfId="868"/>
    <cellStyle name="Обычный 93" xfId="869"/>
    <cellStyle name="Обычный 97" xfId="870"/>
    <cellStyle name="Обычный 98" xfId="871"/>
    <cellStyle name="Обычный_Перечень моек по ПК" xfId="872"/>
    <cellStyle name="Followed Hyperlink" xfId="873"/>
    <cellStyle name="Плохой" xfId="874"/>
    <cellStyle name="Плохой 2" xfId="875"/>
    <cellStyle name="Плохой 2 2" xfId="876"/>
    <cellStyle name="Плохой 2 3" xfId="877"/>
    <cellStyle name="Плохой 2 4" xfId="878"/>
    <cellStyle name="Плохой 3" xfId="879"/>
    <cellStyle name="Плохой 4" xfId="880"/>
    <cellStyle name="Плохой 5" xfId="881"/>
    <cellStyle name="Плохой 6" xfId="882"/>
    <cellStyle name="Плохой 7" xfId="883"/>
    <cellStyle name="Плохой 8" xfId="884"/>
    <cellStyle name="Пояснение" xfId="885"/>
    <cellStyle name="Пояснение 2" xfId="886"/>
    <cellStyle name="Пояснение 2 2" xfId="887"/>
    <cellStyle name="Пояснение 2 3" xfId="888"/>
    <cellStyle name="Пояснение 2 4" xfId="889"/>
    <cellStyle name="Пояснение 3" xfId="890"/>
    <cellStyle name="Пояснение 4" xfId="891"/>
    <cellStyle name="Пояснение 5" xfId="892"/>
    <cellStyle name="Пояснение 6" xfId="893"/>
    <cellStyle name="Пояснение 7" xfId="894"/>
    <cellStyle name="Пояснение 8" xfId="895"/>
    <cellStyle name="Примечание" xfId="896"/>
    <cellStyle name="Примечание 2" xfId="897"/>
    <cellStyle name="Примечание 2 2" xfId="898"/>
    <cellStyle name="Примечание 2 3" xfId="899"/>
    <cellStyle name="Примечание 2 4" xfId="900"/>
    <cellStyle name="Примечание 3" xfId="901"/>
    <cellStyle name="Примечание 4" xfId="902"/>
    <cellStyle name="Примечание 5" xfId="903"/>
    <cellStyle name="Примечание 6" xfId="904"/>
    <cellStyle name="Примечание 7" xfId="905"/>
    <cellStyle name="Примечание 8" xfId="906"/>
    <cellStyle name="Percent" xfId="907"/>
    <cellStyle name="Связанная ячейка" xfId="908"/>
    <cellStyle name="Связанная ячейка 2" xfId="909"/>
    <cellStyle name="Связанная ячейка 2 2" xfId="910"/>
    <cellStyle name="Связанная ячейка 2 3" xfId="911"/>
    <cellStyle name="Связанная ячейка 2 4" xfId="912"/>
    <cellStyle name="Связанная ячейка 3" xfId="913"/>
    <cellStyle name="Связанная ячейка 4" xfId="914"/>
    <cellStyle name="Связанная ячейка 5" xfId="915"/>
    <cellStyle name="Связанная ячейка 6" xfId="916"/>
    <cellStyle name="Связанная ячейка 7" xfId="917"/>
    <cellStyle name="Связанная ячейка 8" xfId="918"/>
    <cellStyle name="Стиль 1" xfId="919"/>
    <cellStyle name="Стиль 1 2" xfId="920"/>
    <cellStyle name="Стиль 1 3" xfId="921"/>
    <cellStyle name="Текст предупреждения" xfId="922"/>
    <cellStyle name="Текст предупреждения 2" xfId="923"/>
    <cellStyle name="Текст предупреждения 2 2" xfId="924"/>
    <cellStyle name="Текст предупреждения 2 3" xfId="925"/>
    <cellStyle name="Текст предупреждения 2 4" xfId="926"/>
    <cellStyle name="Текст предупреждения 3" xfId="927"/>
    <cellStyle name="Текст предупреждения 4" xfId="928"/>
    <cellStyle name="Текст предупреждения 5" xfId="929"/>
    <cellStyle name="Текст предупреждения 6" xfId="930"/>
    <cellStyle name="Текст предупреждения 7" xfId="931"/>
    <cellStyle name="Текст предупреждения 8" xfId="932"/>
    <cellStyle name="Comma" xfId="933"/>
    <cellStyle name="Comma [0]" xfId="934"/>
    <cellStyle name="Хороший" xfId="935"/>
    <cellStyle name="Хороший 2" xfId="936"/>
    <cellStyle name="Хороший 2 2" xfId="937"/>
    <cellStyle name="Хороший 2 3" xfId="938"/>
    <cellStyle name="Хороший 2 4" xfId="939"/>
    <cellStyle name="Хороший 3" xfId="940"/>
    <cellStyle name="Хороший 4" xfId="941"/>
    <cellStyle name="Хороший 5" xfId="942"/>
    <cellStyle name="Хороший 6" xfId="943"/>
    <cellStyle name="Хороший 7" xfId="944"/>
    <cellStyle name="Хороший 8" xfId="945"/>
  </cellStyles>
  <dxfs count="7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6"/>
  <sheetViews>
    <sheetView tabSelected="1" zoomScaleSheetLayoutView="100" workbookViewId="0" topLeftCell="A1">
      <pane ySplit="6" topLeftCell="A7" activePane="bottomLeft" state="frozen"/>
      <selection pane="topLeft" activeCell="A1" sqref="A1"/>
      <selection pane="bottomLeft" activeCell="C24" sqref="C24"/>
    </sheetView>
  </sheetViews>
  <sheetFormatPr defaultColWidth="9.140625" defaultRowHeight="12.75"/>
  <cols>
    <col min="1" max="1" width="8.140625" style="73" bestFit="1" customWidth="1"/>
    <col min="2" max="2" width="11.7109375" style="74" customWidth="1"/>
    <col min="3" max="3" width="28.8515625" style="28" bestFit="1" customWidth="1"/>
    <col min="4" max="4" width="11.8515625" style="131" customWidth="1"/>
    <col min="5" max="5" width="87.8515625" style="27" customWidth="1"/>
    <col min="6" max="6" width="3.421875" style="1" customWidth="1"/>
    <col min="7" max="7" width="3.28125" style="1" customWidth="1"/>
    <col min="8" max="10" width="3.421875" style="1" customWidth="1"/>
    <col min="11" max="11" width="7.7109375" style="1" customWidth="1"/>
    <col min="12" max="12" width="9.140625" style="73" customWidth="1"/>
    <col min="13" max="16384" width="9.140625" style="1" customWidth="1"/>
  </cols>
  <sheetData>
    <row r="1" spans="1:11" ht="10.5" customHeight="1">
      <c r="A1" s="322" t="s">
        <v>1926</v>
      </c>
      <c r="B1" s="267"/>
      <c r="C1" s="267"/>
      <c r="D1" s="267"/>
      <c r="E1" s="267"/>
      <c r="F1" s="268">
        <v>43738</v>
      </c>
      <c r="G1" s="269"/>
      <c r="H1" s="269"/>
      <c r="I1" s="269"/>
      <c r="J1" s="269"/>
      <c r="K1" s="269"/>
    </row>
    <row r="2" spans="1:11" ht="33" customHeight="1" thickBot="1">
      <c r="A2" s="267"/>
      <c r="B2" s="267"/>
      <c r="C2" s="267"/>
      <c r="D2" s="267"/>
      <c r="E2" s="267"/>
      <c r="F2" s="270"/>
      <c r="G2" s="270"/>
      <c r="H2" s="270"/>
      <c r="I2" s="270"/>
      <c r="J2" s="270"/>
      <c r="K2" s="270"/>
    </row>
    <row r="3" spans="1:11" ht="11.25" customHeight="1">
      <c r="A3" s="279" t="s">
        <v>1682</v>
      </c>
      <c r="B3" s="279"/>
      <c r="C3" s="279"/>
      <c r="D3" s="279"/>
      <c r="E3" s="279"/>
      <c r="F3" s="281">
        <f>C7+C11+C29+C43+C52+C64+C72+C75+C86+C93+C97+C110+C152+C162+C191+C222+C238+C270+C309</f>
        <v>333</v>
      </c>
      <c r="G3" s="282"/>
      <c r="H3" s="282"/>
      <c r="I3" s="282"/>
      <c r="J3" s="282"/>
      <c r="K3" s="283"/>
    </row>
    <row r="4" spans="1:11" ht="11.25" customHeight="1" thickBot="1">
      <c r="A4" s="280"/>
      <c r="B4" s="280"/>
      <c r="C4" s="280"/>
      <c r="D4" s="280"/>
      <c r="E4" s="280"/>
      <c r="F4" s="284"/>
      <c r="G4" s="285"/>
      <c r="H4" s="285"/>
      <c r="I4" s="285"/>
      <c r="J4" s="285"/>
      <c r="K4" s="286"/>
    </row>
    <row r="5" spans="1:12" s="3" customFormat="1" ht="88.5" thickBot="1">
      <c r="A5" s="230" t="s">
        <v>628</v>
      </c>
      <c r="B5" s="231" t="s">
        <v>983</v>
      </c>
      <c r="C5" s="231" t="s">
        <v>474</v>
      </c>
      <c r="D5" s="232" t="s">
        <v>797</v>
      </c>
      <c r="E5" s="233" t="s">
        <v>106</v>
      </c>
      <c r="F5" s="234" t="s">
        <v>630</v>
      </c>
      <c r="G5" s="231" t="s">
        <v>631</v>
      </c>
      <c r="H5" s="231" t="s">
        <v>632</v>
      </c>
      <c r="I5" s="231" t="s">
        <v>1184</v>
      </c>
      <c r="J5" s="235" t="s">
        <v>1339</v>
      </c>
      <c r="K5" s="236" t="s">
        <v>633</v>
      </c>
      <c r="L5" s="4"/>
    </row>
    <row r="6" spans="1:11" s="4" customFormat="1" ht="21" thickBot="1">
      <c r="A6" s="276" t="s">
        <v>102</v>
      </c>
      <c r="B6" s="277"/>
      <c r="C6" s="277"/>
      <c r="D6" s="277"/>
      <c r="E6" s="278"/>
      <c r="F6" s="261" t="s">
        <v>1621</v>
      </c>
      <c r="G6" s="262"/>
      <c r="H6" s="262"/>
      <c r="I6" s="262"/>
      <c r="J6" s="263"/>
      <c r="K6" s="248">
        <f>C7+C11+C29+C43+C52+C64+C72+C75+C86+C93+C97</f>
        <v>91</v>
      </c>
    </row>
    <row r="7" spans="1:12" s="2" customFormat="1" ht="21" thickBot="1">
      <c r="A7" s="271" t="s">
        <v>1622</v>
      </c>
      <c r="B7" s="272"/>
      <c r="C7" s="193">
        <f>SUBTOTAL(3,D8:D10)</f>
        <v>3</v>
      </c>
      <c r="D7" s="273" t="s">
        <v>863</v>
      </c>
      <c r="E7" s="274"/>
      <c r="F7" s="274"/>
      <c r="G7" s="274"/>
      <c r="H7" s="274"/>
      <c r="I7" s="274"/>
      <c r="J7" s="274"/>
      <c r="K7" s="275"/>
      <c r="L7" s="250"/>
    </row>
    <row r="8" spans="1:11" ht="12.75" customHeight="1">
      <c r="A8" s="132">
        <v>1.95</v>
      </c>
      <c r="B8" s="133" t="s">
        <v>330</v>
      </c>
      <c r="C8" s="134" t="s">
        <v>439</v>
      </c>
      <c r="D8" s="133" t="s">
        <v>104</v>
      </c>
      <c r="E8" s="135" t="s">
        <v>732</v>
      </c>
      <c r="F8" s="55" t="s">
        <v>105</v>
      </c>
      <c r="G8" s="55" t="s">
        <v>105</v>
      </c>
      <c r="H8" s="55" t="s">
        <v>105</v>
      </c>
      <c r="I8" s="56"/>
      <c r="J8" s="200" t="s">
        <v>105</v>
      </c>
      <c r="K8" s="84"/>
    </row>
    <row r="9" spans="1:11" ht="12.75" customHeight="1">
      <c r="A9" s="132">
        <v>1.95</v>
      </c>
      <c r="B9" s="133" t="s">
        <v>340</v>
      </c>
      <c r="C9" s="134" t="s">
        <v>439</v>
      </c>
      <c r="D9" s="133" t="s">
        <v>104</v>
      </c>
      <c r="E9" s="135" t="s">
        <v>741</v>
      </c>
      <c r="F9" s="56"/>
      <c r="G9" s="56" t="s">
        <v>105</v>
      </c>
      <c r="H9" s="56" t="s">
        <v>105</v>
      </c>
      <c r="I9" s="56"/>
      <c r="J9" s="200"/>
      <c r="K9" s="84"/>
    </row>
    <row r="10" spans="1:11" ht="12.75" customHeight="1" thickBot="1">
      <c r="A10" s="225">
        <v>1.95</v>
      </c>
      <c r="B10" s="226" t="s">
        <v>346</v>
      </c>
      <c r="C10" s="227" t="s">
        <v>439</v>
      </c>
      <c r="D10" s="226" t="s">
        <v>104</v>
      </c>
      <c r="E10" s="228" t="s">
        <v>748</v>
      </c>
      <c r="F10" s="229" t="s">
        <v>105</v>
      </c>
      <c r="G10" s="229" t="s">
        <v>105</v>
      </c>
      <c r="H10" s="229" t="s">
        <v>105</v>
      </c>
      <c r="I10" s="57" t="s">
        <v>105</v>
      </c>
      <c r="J10" s="205"/>
      <c r="K10" s="174"/>
    </row>
    <row r="11" spans="1:11" ht="21" customHeight="1" thickBot="1">
      <c r="A11" s="271" t="s">
        <v>1622</v>
      </c>
      <c r="B11" s="272"/>
      <c r="C11" s="193">
        <f>SUBTOTAL(3,D12:D28)</f>
        <v>17</v>
      </c>
      <c r="D11" s="273" t="s">
        <v>864</v>
      </c>
      <c r="E11" s="274"/>
      <c r="F11" s="274"/>
      <c r="G11" s="274"/>
      <c r="H11" s="274"/>
      <c r="I11" s="274"/>
      <c r="J11" s="274"/>
      <c r="K11" s="275"/>
    </row>
    <row r="12" spans="1:12" s="128" customFormat="1" ht="12.75" customHeight="1">
      <c r="A12" s="132">
        <v>1.49</v>
      </c>
      <c r="B12" s="133" t="s">
        <v>326</v>
      </c>
      <c r="C12" s="134" t="s">
        <v>437</v>
      </c>
      <c r="D12" s="133" t="s">
        <v>109</v>
      </c>
      <c r="E12" s="135" t="s">
        <v>719</v>
      </c>
      <c r="F12" s="56" t="s">
        <v>105</v>
      </c>
      <c r="G12" s="56" t="s">
        <v>105</v>
      </c>
      <c r="H12" s="56" t="s">
        <v>105</v>
      </c>
      <c r="I12" s="56"/>
      <c r="J12" s="200"/>
      <c r="K12" s="84"/>
      <c r="L12" s="129"/>
    </row>
    <row r="13" spans="1:11" ht="12.75" customHeight="1">
      <c r="A13" s="132">
        <v>1.72</v>
      </c>
      <c r="B13" s="133" t="s">
        <v>321</v>
      </c>
      <c r="C13" s="134" t="s">
        <v>480</v>
      </c>
      <c r="D13" s="133" t="s">
        <v>109</v>
      </c>
      <c r="E13" s="135" t="s">
        <v>727</v>
      </c>
      <c r="F13" s="56" t="s">
        <v>105</v>
      </c>
      <c r="G13" s="56" t="s">
        <v>105</v>
      </c>
      <c r="H13" s="56" t="s">
        <v>105</v>
      </c>
      <c r="I13" s="56"/>
      <c r="J13" s="200"/>
      <c r="K13" s="84"/>
    </row>
    <row r="14" spans="1:11" ht="12.75" customHeight="1">
      <c r="A14" s="132">
        <v>1.72</v>
      </c>
      <c r="B14" s="133" t="s">
        <v>693</v>
      </c>
      <c r="C14" s="134" t="s">
        <v>480</v>
      </c>
      <c r="D14" s="133" t="s">
        <v>109</v>
      </c>
      <c r="E14" s="135" t="s">
        <v>761</v>
      </c>
      <c r="F14" s="56" t="s">
        <v>105</v>
      </c>
      <c r="G14" s="56" t="s">
        <v>105</v>
      </c>
      <c r="H14" s="56" t="s">
        <v>105</v>
      </c>
      <c r="I14" s="56"/>
      <c r="J14" s="200"/>
      <c r="K14" s="84"/>
    </row>
    <row r="15" spans="1:11" ht="12.75" customHeight="1">
      <c r="A15" s="132">
        <v>1.72</v>
      </c>
      <c r="B15" s="133" t="s">
        <v>930</v>
      </c>
      <c r="C15" s="134" t="s">
        <v>480</v>
      </c>
      <c r="D15" s="133" t="s">
        <v>109</v>
      </c>
      <c r="E15" s="135" t="s">
        <v>929</v>
      </c>
      <c r="F15" s="56" t="s">
        <v>105</v>
      </c>
      <c r="G15" s="56" t="s">
        <v>105</v>
      </c>
      <c r="H15" s="56" t="s">
        <v>105</v>
      </c>
      <c r="I15" s="56"/>
      <c r="J15" s="200"/>
      <c r="K15" s="84"/>
    </row>
    <row r="16" spans="1:11" ht="12.75" customHeight="1">
      <c r="A16" s="132">
        <v>1.95</v>
      </c>
      <c r="B16" s="133" t="s">
        <v>1135</v>
      </c>
      <c r="C16" s="134" t="s">
        <v>439</v>
      </c>
      <c r="D16" s="133" t="s">
        <v>109</v>
      </c>
      <c r="E16" s="135" t="s">
        <v>1136</v>
      </c>
      <c r="F16" s="55" t="s">
        <v>105</v>
      </c>
      <c r="G16" s="55" t="s">
        <v>105</v>
      </c>
      <c r="H16" s="55" t="s">
        <v>105</v>
      </c>
      <c r="I16" s="56"/>
      <c r="J16" s="200"/>
      <c r="K16" s="84"/>
    </row>
    <row r="17" spans="1:11" ht="12.75" customHeight="1">
      <c r="A17" s="132">
        <v>1.95</v>
      </c>
      <c r="B17" s="133" t="s">
        <v>331</v>
      </c>
      <c r="C17" s="134" t="s">
        <v>439</v>
      </c>
      <c r="D17" s="133" t="s">
        <v>109</v>
      </c>
      <c r="E17" s="135" t="s">
        <v>733</v>
      </c>
      <c r="F17" s="56" t="s">
        <v>105</v>
      </c>
      <c r="G17" s="56" t="s">
        <v>105</v>
      </c>
      <c r="H17" s="56" t="s">
        <v>105</v>
      </c>
      <c r="I17" s="56"/>
      <c r="J17" s="200"/>
      <c r="K17" s="84"/>
    </row>
    <row r="18" spans="1:11" ht="12.75" customHeight="1">
      <c r="A18" s="132">
        <v>1.95</v>
      </c>
      <c r="B18" s="133" t="s">
        <v>333</v>
      </c>
      <c r="C18" s="134" t="s">
        <v>439</v>
      </c>
      <c r="D18" s="133" t="s">
        <v>109</v>
      </c>
      <c r="E18" s="135" t="s">
        <v>735</v>
      </c>
      <c r="F18" s="56" t="s">
        <v>105</v>
      </c>
      <c r="G18" s="56" t="s">
        <v>105</v>
      </c>
      <c r="H18" s="56" t="s">
        <v>105</v>
      </c>
      <c r="I18" s="56"/>
      <c r="J18" s="200"/>
      <c r="K18" s="84"/>
    </row>
    <row r="19" spans="1:11" ht="12.75" customHeight="1">
      <c r="A19" s="132">
        <v>1.95</v>
      </c>
      <c r="B19" s="133" t="s">
        <v>334</v>
      </c>
      <c r="C19" s="134" t="s">
        <v>439</v>
      </c>
      <c r="D19" s="133" t="s">
        <v>109</v>
      </c>
      <c r="E19" s="135" t="s">
        <v>736</v>
      </c>
      <c r="F19" s="55" t="s">
        <v>105</v>
      </c>
      <c r="G19" s="55" t="s">
        <v>105</v>
      </c>
      <c r="H19" s="55" t="s">
        <v>105</v>
      </c>
      <c r="I19" s="56"/>
      <c r="J19" s="200"/>
      <c r="K19" s="84"/>
    </row>
    <row r="20" spans="1:11" ht="12.75" customHeight="1">
      <c r="A20" s="132">
        <v>1.95</v>
      </c>
      <c r="B20" s="133" t="s">
        <v>335</v>
      </c>
      <c r="C20" s="134" t="s">
        <v>439</v>
      </c>
      <c r="D20" s="133" t="s">
        <v>109</v>
      </c>
      <c r="E20" s="135" t="s">
        <v>737</v>
      </c>
      <c r="F20" s="56" t="s">
        <v>105</v>
      </c>
      <c r="G20" s="56" t="s">
        <v>105</v>
      </c>
      <c r="H20" s="56" t="s">
        <v>105</v>
      </c>
      <c r="I20" s="56"/>
      <c r="J20" s="200"/>
      <c r="K20" s="84"/>
    </row>
    <row r="21" spans="1:11" ht="12.75" customHeight="1">
      <c r="A21" s="132">
        <v>1.95</v>
      </c>
      <c r="B21" s="133" t="s">
        <v>336</v>
      </c>
      <c r="C21" s="134" t="s">
        <v>439</v>
      </c>
      <c r="D21" s="133" t="s">
        <v>109</v>
      </c>
      <c r="E21" s="135" t="s">
        <v>738</v>
      </c>
      <c r="F21" s="55" t="s">
        <v>105</v>
      </c>
      <c r="G21" s="55" t="s">
        <v>105</v>
      </c>
      <c r="H21" s="55" t="s">
        <v>105</v>
      </c>
      <c r="I21" s="56"/>
      <c r="J21" s="200"/>
      <c r="K21" s="84"/>
    </row>
    <row r="22" spans="1:11" ht="12.75" customHeight="1">
      <c r="A22" s="132">
        <v>1.95</v>
      </c>
      <c r="B22" s="133" t="s">
        <v>1200</v>
      </c>
      <c r="C22" s="134" t="s">
        <v>439</v>
      </c>
      <c r="D22" s="133" t="s">
        <v>109</v>
      </c>
      <c r="E22" s="135" t="s">
        <v>1201</v>
      </c>
      <c r="F22" s="55" t="s">
        <v>105</v>
      </c>
      <c r="G22" s="55" t="s">
        <v>105</v>
      </c>
      <c r="H22" s="55" t="s">
        <v>105</v>
      </c>
      <c r="I22" s="56"/>
      <c r="J22" s="200"/>
      <c r="K22" s="84"/>
    </row>
    <row r="23" spans="1:11" ht="12.75" customHeight="1">
      <c r="A23" s="132">
        <v>1.178</v>
      </c>
      <c r="B23" s="133" t="s">
        <v>1465</v>
      </c>
      <c r="C23" s="134" t="s">
        <v>949</v>
      </c>
      <c r="D23" s="133" t="s">
        <v>109</v>
      </c>
      <c r="E23" s="135" t="s">
        <v>1463</v>
      </c>
      <c r="F23" s="55" t="s">
        <v>105</v>
      </c>
      <c r="G23" s="55" t="s">
        <v>105</v>
      </c>
      <c r="H23" s="55" t="s">
        <v>105</v>
      </c>
      <c r="I23" s="56"/>
      <c r="J23" s="200"/>
      <c r="K23" s="84"/>
    </row>
    <row r="24" spans="1:11" ht="12.75" customHeight="1">
      <c r="A24" s="132">
        <v>1.178</v>
      </c>
      <c r="B24" s="133" t="s">
        <v>1466</v>
      </c>
      <c r="C24" s="134" t="s">
        <v>949</v>
      </c>
      <c r="D24" s="133" t="s">
        <v>109</v>
      </c>
      <c r="E24" s="135" t="s">
        <v>1464</v>
      </c>
      <c r="F24" s="55" t="s">
        <v>105</v>
      </c>
      <c r="G24" s="55" t="s">
        <v>105</v>
      </c>
      <c r="H24" s="55" t="s">
        <v>105</v>
      </c>
      <c r="I24" s="56"/>
      <c r="J24" s="200"/>
      <c r="K24" s="84"/>
    </row>
    <row r="25" spans="1:11" ht="12.75" customHeight="1">
      <c r="A25" s="132">
        <v>1.178</v>
      </c>
      <c r="B25" s="133" t="s">
        <v>1231</v>
      </c>
      <c r="C25" s="134" t="s">
        <v>949</v>
      </c>
      <c r="D25" s="133" t="s">
        <v>109</v>
      </c>
      <c r="E25" s="135" t="s">
        <v>1232</v>
      </c>
      <c r="F25" s="55" t="s">
        <v>105</v>
      </c>
      <c r="G25" s="55" t="s">
        <v>105</v>
      </c>
      <c r="H25" s="55" t="s">
        <v>105</v>
      </c>
      <c r="I25" s="56"/>
      <c r="J25" s="200"/>
      <c r="K25" s="84"/>
    </row>
    <row r="26" spans="1:11" ht="12.75" customHeight="1">
      <c r="A26" s="132">
        <v>1.178</v>
      </c>
      <c r="B26" s="133" t="s">
        <v>1235</v>
      </c>
      <c r="C26" s="134" t="s">
        <v>949</v>
      </c>
      <c r="D26" s="133" t="s">
        <v>109</v>
      </c>
      <c r="E26" s="135" t="s">
        <v>1236</v>
      </c>
      <c r="F26" s="55" t="s">
        <v>105</v>
      </c>
      <c r="G26" s="55" t="s">
        <v>105</v>
      </c>
      <c r="H26" s="55" t="s">
        <v>105</v>
      </c>
      <c r="I26" s="56"/>
      <c r="J26" s="200"/>
      <c r="K26" s="84"/>
    </row>
    <row r="27" spans="1:11" ht="12.75" customHeight="1">
      <c r="A27" s="132">
        <v>5.7</v>
      </c>
      <c r="B27" s="133" t="s">
        <v>349</v>
      </c>
      <c r="C27" s="134" t="s">
        <v>483</v>
      </c>
      <c r="D27" s="133" t="s">
        <v>109</v>
      </c>
      <c r="E27" s="135" t="s">
        <v>751</v>
      </c>
      <c r="F27" s="55"/>
      <c r="G27" s="55"/>
      <c r="H27" s="55"/>
      <c r="I27" s="56"/>
      <c r="J27" s="200"/>
      <c r="K27" s="84" t="s">
        <v>105</v>
      </c>
    </row>
    <row r="28" spans="1:11" ht="12.75" customHeight="1" thickBot="1">
      <c r="A28" s="132">
        <v>1.115</v>
      </c>
      <c r="B28" s="133" t="s">
        <v>839</v>
      </c>
      <c r="C28" s="134" t="s">
        <v>876</v>
      </c>
      <c r="D28" s="133" t="s">
        <v>109</v>
      </c>
      <c r="E28" s="135" t="s">
        <v>838</v>
      </c>
      <c r="F28" s="55"/>
      <c r="G28" s="55" t="s">
        <v>105</v>
      </c>
      <c r="H28" s="55" t="s">
        <v>105</v>
      </c>
      <c r="I28" s="56"/>
      <c r="J28" s="200"/>
      <c r="K28" s="84"/>
    </row>
    <row r="29" spans="1:11" ht="21" customHeight="1" thickBot="1">
      <c r="A29" s="271" t="s">
        <v>1622</v>
      </c>
      <c r="B29" s="272"/>
      <c r="C29" s="194">
        <f>SUBTOTAL(3,D30:D42)</f>
        <v>13</v>
      </c>
      <c r="D29" s="273" t="s">
        <v>865</v>
      </c>
      <c r="E29" s="274"/>
      <c r="F29" s="274"/>
      <c r="G29" s="274"/>
      <c r="H29" s="274"/>
      <c r="I29" s="274"/>
      <c r="J29" s="274"/>
      <c r="K29" s="275"/>
    </row>
    <row r="30" spans="1:11" s="129" customFormat="1" ht="12.75" customHeight="1">
      <c r="A30" s="138">
        <v>1.72</v>
      </c>
      <c r="B30" s="137" t="s">
        <v>322</v>
      </c>
      <c r="C30" s="136" t="s">
        <v>480</v>
      </c>
      <c r="D30" s="137" t="s">
        <v>133</v>
      </c>
      <c r="E30" s="139" t="s">
        <v>717</v>
      </c>
      <c r="F30" s="55" t="s">
        <v>105</v>
      </c>
      <c r="G30" s="55" t="s">
        <v>105</v>
      </c>
      <c r="H30" s="55" t="s">
        <v>105</v>
      </c>
      <c r="I30" s="55"/>
      <c r="J30" s="201"/>
      <c r="K30" s="85"/>
    </row>
    <row r="31" spans="1:11" ht="12.75" customHeight="1">
      <c r="A31" s="132">
        <v>1.72</v>
      </c>
      <c r="B31" s="133" t="s">
        <v>316</v>
      </c>
      <c r="C31" s="136" t="s">
        <v>480</v>
      </c>
      <c r="D31" s="137" t="s">
        <v>133</v>
      </c>
      <c r="E31" s="135" t="s">
        <v>720</v>
      </c>
      <c r="F31" s="56" t="s">
        <v>105</v>
      </c>
      <c r="G31" s="56" t="s">
        <v>105</v>
      </c>
      <c r="H31" s="56" t="s">
        <v>105</v>
      </c>
      <c r="I31" s="56"/>
      <c r="J31" s="200"/>
      <c r="K31" s="84"/>
    </row>
    <row r="32" spans="1:11" ht="12.75" customHeight="1">
      <c r="A32" s="132">
        <v>1.72</v>
      </c>
      <c r="B32" s="133" t="s">
        <v>318</v>
      </c>
      <c r="C32" s="136" t="s">
        <v>480</v>
      </c>
      <c r="D32" s="137" t="s">
        <v>133</v>
      </c>
      <c r="E32" s="135" t="s">
        <v>722</v>
      </c>
      <c r="F32" s="56" t="s">
        <v>105</v>
      </c>
      <c r="G32" s="56" t="s">
        <v>105</v>
      </c>
      <c r="H32" s="56" t="s">
        <v>105</v>
      </c>
      <c r="I32" s="56"/>
      <c r="J32" s="200"/>
      <c r="K32" s="84"/>
    </row>
    <row r="33" spans="1:11" ht="12.75" customHeight="1">
      <c r="A33" s="132">
        <v>1.72</v>
      </c>
      <c r="B33" s="133" t="s">
        <v>319</v>
      </c>
      <c r="C33" s="136" t="s">
        <v>480</v>
      </c>
      <c r="D33" s="137" t="s">
        <v>133</v>
      </c>
      <c r="E33" s="135" t="s">
        <v>723</v>
      </c>
      <c r="F33" s="56" t="s">
        <v>105</v>
      </c>
      <c r="G33" s="56" t="s">
        <v>105</v>
      </c>
      <c r="H33" s="56" t="s">
        <v>105</v>
      </c>
      <c r="I33" s="56"/>
      <c r="J33" s="200"/>
      <c r="K33" s="84"/>
    </row>
    <row r="34" spans="1:11" ht="12.75" customHeight="1">
      <c r="A34" s="132">
        <v>1.72</v>
      </c>
      <c r="B34" s="133" t="s">
        <v>320</v>
      </c>
      <c r="C34" s="134" t="s">
        <v>480</v>
      </c>
      <c r="D34" s="133" t="s">
        <v>133</v>
      </c>
      <c r="E34" s="135" t="s">
        <v>726</v>
      </c>
      <c r="F34" s="56" t="s">
        <v>105</v>
      </c>
      <c r="G34" s="56" t="s">
        <v>105</v>
      </c>
      <c r="H34" s="56" t="s">
        <v>105</v>
      </c>
      <c r="I34" s="56"/>
      <c r="J34" s="200"/>
      <c r="K34" s="84"/>
    </row>
    <row r="35" spans="1:11" ht="12.75" customHeight="1">
      <c r="A35" s="132">
        <v>1.72</v>
      </c>
      <c r="B35" s="133" t="s">
        <v>323</v>
      </c>
      <c r="C35" s="134" t="s">
        <v>480</v>
      </c>
      <c r="D35" s="133" t="s">
        <v>133</v>
      </c>
      <c r="E35" s="135" t="s">
        <v>728</v>
      </c>
      <c r="F35" s="55" t="s">
        <v>105</v>
      </c>
      <c r="G35" s="55" t="s">
        <v>105</v>
      </c>
      <c r="H35" s="55" t="s">
        <v>105</v>
      </c>
      <c r="I35" s="56"/>
      <c r="J35" s="200"/>
      <c r="K35" s="84"/>
    </row>
    <row r="36" spans="1:11" ht="12.75" customHeight="1">
      <c r="A36" s="132">
        <v>1.72</v>
      </c>
      <c r="B36" s="133" t="s">
        <v>1216</v>
      </c>
      <c r="C36" s="134" t="s">
        <v>480</v>
      </c>
      <c r="D36" s="133" t="s">
        <v>133</v>
      </c>
      <c r="E36" s="135" t="s">
        <v>1217</v>
      </c>
      <c r="F36" s="55" t="s">
        <v>105</v>
      </c>
      <c r="G36" s="55" t="s">
        <v>105</v>
      </c>
      <c r="H36" s="55" t="s">
        <v>105</v>
      </c>
      <c r="I36" s="56"/>
      <c r="J36" s="200"/>
      <c r="K36" s="84"/>
    </row>
    <row r="37" spans="1:11" ht="12.75" customHeight="1">
      <c r="A37" s="132">
        <v>1.122</v>
      </c>
      <c r="B37" s="133" t="s">
        <v>1640</v>
      </c>
      <c r="C37" s="136" t="s">
        <v>476</v>
      </c>
      <c r="D37" s="137" t="s">
        <v>133</v>
      </c>
      <c r="E37" s="135" t="s">
        <v>1639</v>
      </c>
      <c r="F37" s="55" t="s">
        <v>105</v>
      </c>
      <c r="G37" s="55" t="s">
        <v>105</v>
      </c>
      <c r="H37" s="55" t="s">
        <v>105</v>
      </c>
      <c r="I37" s="56"/>
      <c r="J37" s="200"/>
      <c r="K37" s="84"/>
    </row>
    <row r="38" spans="1:11" ht="12.75" customHeight="1">
      <c r="A38" s="132">
        <v>1.122</v>
      </c>
      <c r="B38" s="133" t="s">
        <v>1828</v>
      </c>
      <c r="C38" s="136" t="s">
        <v>476</v>
      </c>
      <c r="D38" s="137" t="s">
        <v>133</v>
      </c>
      <c r="E38" s="135" t="s">
        <v>1829</v>
      </c>
      <c r="F38" s="55" t="s">
        <v>105</v>
      </c>
      <c r="G38" s="55" t="s">
        <v>105</v>
      </c>
      <c r="H38" s="55" t="s">
        <v>105</v>
      </c>
      <c r="I38" s="56"/>
      <c r="J38" s="200"/>
      <c r="K38" s="84"/>
    </row>
    <row r="39" spans="1:11" ht="12.75" customHeight="1">
      <c r="A39" s="155">
        <v>1.178</v>
      </c>
      <c r="B39" s="133" t="s">
        <v>933</v>
      </c>
      <c r="C39" s="134" t="s">
        <v>949</v>
      </c>
      <c r="D39" s="133" t="s">
        <v>133</v>
      </c>
      <c r="E39" s="135" t="s">
        <v>934</v>
      </c>
      <c r="F39" s="55" t="s">
        <v>105</v>
      </c>
      <c r="G39" s="55" t="s">
        <v>105</v>
      </c>
      <c r="H39" s="55" t="s">
        <v>105</v>
      </c>
      <c r="I39" s="56"/>
      <c r="J39" s="200"/>
      <c r="K39" s="84"/>
    </row>
    <row r="40" spans="1:11" ht="12.75" customHeight="1">
      <c r="A40" s="132">
        <v>1.78</v>
      </c>
      <c r="B40" s="133" t="s">
        <v>328</v>
      </c>
      <c r="C40" s="134" t="s">
        <v>481</v>
      </c>
      <c r="D40" s="133" t="s">
        <v>133</v>
      </c>
      <c r="E40" s="135" t="s">
        <v>730</v>
      </c>
      <c r="F40" s="56" t="s">
        <v>105</v>
      </c>
      <c r="G40" s="56" t="s">
        <v>105</v>
      </c>
      <c r="H40" s="56" t="s">
        <v>105</v>
      </c>
      <c r="I40" s="56" t="s">
        <v>105</v>
      </c>
      <c r="J40" s="200"/>
      <c r="K40" s="84"/>
    </row>
    <row r="41" spans="1:11" ht="12.75" customHeight="1">
      <c r="A41" s="132">
        <v>1.42</v>
      </c>
      <c r="B41" s="133" t="s">
        <v>1700</v>
      </c>
      <c r="C41" s="136" t="s">
        <v>435</v>
      </c>
      <c r="D41" s="137" t="s">
        <v>133</v>
      </c>
      <c r="E41" s="135" t="s">
        <v>1701</v>
      </c>
      <c r="F41" s="56"/>
      <c r="G41" s="56"/>
      <c r="H41" s="56"/>
      <c r="I41" s="56"/>
      <c r="J41" s="200"/>
      <c r="K41" s="84" t="s">
        <v>105</v>
      </c>
    </row>
    <row r="42" spans="1:11" ht="12.75" customHeight="1" thickBot="1">
      <c r="A42" s="132">
        <v>1.42</v>
      </c>
      <c r="B42" s="133" t="s">
        <v>1202</v>
      </c>
      <c r="C42" s="136" t="s">
        <v>435</v>
      </c>
      <c r="D42" s="137" t="s">
        <v>133</v>
      </c>
      <c r="E42" s="135" t="s">
        <v>1203</v>
      </c>
      <c r="F42" s="56"/>
      <c r="G42" s="56"/>
      <c r="H42" s="56"/>
      <c r="I42" s="56"/>
      <c r="J42" s="200"/>
      <c r="K42" s="84" t="s">
        <v>105</v>
      </c>
    </row>
    <row r="43" spans="1:11" ht="21" customHeight="1" thickBot="1">
      <c r="A43" s="271" t="s">
        <v>1622</v>
      </c>
      <c r="B43" s="272"/>
      <c r="C43" s="194">
        <f>SUBTOTAL(3,D44:D51)</f>
        <v>8</v>
      </c>
      <c r="D43" s="273" t="s">
        <v>866</v>
      </c>
      <c r="E43" s="274"/>
      <c r="F43" s="274"/>
      <c r="G43" s="274"/>
      <c r="H43" s="274"/>
      <c r="I43" s="274"/>
      <c r="J43" s="274"/>
      <c r="K43" s="275"/>
    </row>
    <row r="44" spans="1:11" ht="12.75" customHeight="1">
      <c r="A44" s="132">
        <v>1.125</v>
      </c>
      <c r="B44" s="133" t="s">
        <v>327</v>
      </c>
      <c r="C44" s="134" t="s">
        <v>769</v>
      </c>
      <c r="D44" s="133" t="s">
        <v>38</v>
      </c>
      <c r="E44" s="135" t="s">
        <v>725</v>
      </c>
      <c r="F44" s="56" t="s">
        <v>105</v>
      </c>
      <c r="G44" s="56" t="s">
        <v>105</v>
      </c>
      <c r="H44" s="56" t="s">
        <v>105</v>
      </c>
      <c r="I44" s="56"/>
      <c r="J44" s="200"/>
      <c r="K44" s="84"/>
    </row>
    <row r="45" spans="1:11" ht="12.75" customHeight="1">
      <c r="A45" s="155">
        <v>1.178</v>
      </c>
      <c r="B45" s="133" t="s">
        <v>1227</v>
      </c>
      <c r="C45" s="134" t="s">
        <v>949</v>
      </c>
      <c r="D45" s="133" t="s">
        <v>38</v>
      </c>
      <c r="E45" s="135" t="s">
        <v>1228</v>
      </c>
      <c r="F45" s="55" t="s">
        <v>105</v>
      </c>
      <c r="G45" s="55" t="s">
        <v>105</v>
      </c>
      <c r="H45" s="55" t="s">
        <v>105</v>
      </c>
      <c r="I45" s="56"/>
      <c r="J45" s="200"/>
      <c r="K45" s="84"/>
    </row>
    <row r="46" spans="1:11" ht="12.75" customHeight="1">
      <c r="A46" s="188">
        <v>1.72</v>
      </c>
      <c r="B46" s="133" t="s">
        <v>1092</v>
      </c>
      <c r="C46" s="134" t="s">
        <v>480</v>
      </c>
      <c r="D46" s="133" t="s">
        <v>38</v>
      </c>
      <c r="E46" s="135" t="s">
        <v>1093</v>
      </c>
      <c r="F46" s="55" t="s">
        <v>105</v>
      </c>
      <c r="G46" s="55" t="s">
        <v>105</v>
      </c>
      <c r="H46" s="55" t="s">
        <v>105</v>
      </c>
      <c r="I46" s="56"/>
      <c r="J46" s="200"/>
      <c r="K46" s="84"/>
    </row>
    <row r="47" spans="1:11" ht="12.75" customHeight="1">
      <c r="A47" s="132">
        <v>1.95</v>
      </c>
      <c r="B47" s="133" t="s">
        <v>337</v>
      </c>
      <c r="C47" s="134" t="s">
        <v>439</v>
      </c>
      <c r="D47" s="133" t="s">
        <v>38</v>
      </c>
      <c r="E47" s="135" t="s">
        <v>739</v>
      </c>
      <c r="F47" s="56" t="s">
        <v>105</v>
      </c>
      <c r="G47" s="56" t="s">
        <v>105</v>
      </c>
      <c r="H47" s="56" t="s">
        <v>105</v>
      </c>
      <c r="I47" s="56"/>
      <c r="J47" s="200"/>
      <c r="K47" s="84"/>
    </row>
    <row r="48" spans="1:11" ht="12.75" customHeight="1">
      <c r="A48" s="132">
        <v>1.95</v>
      </c>
      <c r="B48" s="133" t="s">
        <v>338</v>
      </c>
      <c r="C48" s="134" t="s">
        <v>439</v>
      </c>
      <c r="D48" s="133" t="s">
        <v>38</v>
      </c>
      <c r="E48" s="135" t="s">
        <v>740</v>
      </c>
      <c r="F48" s="55" t="s">
        <v>105</v>
      </c>
      <c r="G48" s="55" t="s">
        <v>105</v>
      </c>
      <c r="H48" s="55" t="s">
        <v>105</v>
      </c>
      <c r="I48" s="56"/>
      <c r="J48" s="200"/>
      <c r="K48" s="84"/>
    </row>
    <row r="49" spans="1:11" ht="12.75" customHeight="1">
      <c r="A49" s="132">
        <v>1.95</v>
      </c>
      <c r="B49" s="133" t="s">
        <v>701</v>
      </c>
      <c r="C49" s="134" t="s">
        <v>439</v>
      </c>
      <c r="D49" s="133" t="s">
        <v>38</v>
      </c>
      <c r="E49" s="135" t="s">
        <v>745</v>
      </c>
      <c r="F49" s="55"/>
      <c r="G49" s="55"/>
      <c r="H49" s="55"/>
      <c r="I49" s="56"/>
      <c r="J49" s="200"/>
      <c r="K49" s="84" t="s">
        <v>105</v>
      </c>
    </row>
    <row r="50" spans="1:11" ht="12.75" customHeight="1">
      <c r="A50" s="132">
        <v>1.95</v>
      </c>
      <c r="B50" s="133" t="s">
        <v>874</v>
      </c>
      <c r="C50" s="134" t="s">
        <v>439</v>
      </c>
      <c r="D50" s="133" t="s">
        <v>38</v>
      </c>
      <c r="E50" s="135" t="s">
        <v>875</v>
      </c>
      <c r="F50" s="55"/>
      <c r="G50" s="55"/>
      <c r="H50" s="55"/>
      <c r="I50" s="56"/>
      <c r="J50" s="200"/>
      <c r="K50" s="84" t="s">
        <v>105</v>
      </c>
    </row>
    <row r="51" spans="1:11" ht="12.75" customHeight="1" thickBot="1">
      <c r="A51" s="132">
        <v>1.16</v>
      </c>
      <c r="B51" s="133" t="s">
        <v>697</v>
      </c>
      <c r="C51" s="134" t="s">
        <v>698</v>
      </c>
      <c r="D51" s="133" t="s">
        <v>38</v>
      </c>
      <c r="E51" s="135" t="s">
        <v>762</v>
      </c>
      <c r="F51" s="55" t="s">
        <v>105</v>
      </c>
      <c r="G51" s="55" t="s">
        <v>105</v>
      </c>
      <c r="H51" s="55" t="s">
        <v>105</v>
      </c>
      <c r="I51" s="56"/>
      <c r="J51" s="200"/>
      <c r="K51" s="84"/>
    </row>
    <row r="52" spans="1:11" ht="21" customHeight="1" thickBot="1">
      <c r="A52" s="271" t="s">
        <v>1622</v>
      </c>
      <c r="B52" s="272"/>
      <c r="C52" s="194">
        <f>SUBTOTAL(3,D53:D63)</f>
        <v>11</v>
      </c>
      <c r="D52" s="273" t="s">
        <v>867</v>
      </c>
      <c r="E52" s="274"/>
      <c r="F52" s="274"/>
      <c r="G52" s="274"/>
      <c r="H52" s="274"/>
      <c r="I52" s="274"/>
      <c r="J52" s="274"/>
      <c r="K52" s="275"/>
    </row>
    <row r="53" spans="1:11" s="129" customFormat="1" ht="12.75" customHeight="1">
      <c r="A53" s="132">
        <v>1.97</v>
      </c>
      <c r="B53" s="133" t="s">
        <v>325</v>
      </c>
      <c r="C53" s="136" t="s">
        <v>768</v>
      </c>
      <c r="D53" s="137" t="s">
        <v>52</v>
      </c>
      <c r="E53" s="135" t="s">
        <v>724</v>
      </c>
      <c r="F53" s="55" t="s">
        <v>105</v>
      </c>
      <c r="G53" s="55" t="s">
        <v>105</v>
      </c>
      <c r="H53" s="55" t="s">
        <v>105</v>
      </c>
      <c r="I53" s="56"/>
      <c r="J53" s="200"/>
      <c r="K53" s="84"/>
    </row>
    <row r="54" spans="1:12" s="42" customFormat="1" ht="12.75" customHeight="1">
      <c r="A54" s="132">
        <v>1.42</v>
      </c>
      <c r="B54" s="133" t="s">
        <v>356</v>
      </c>
      <c r="C54" s="136" t="s">
        <v>435</v>
      </c>
      <c r="D54" s="137" t="s">
        <v>52</v>
      </c>
      <c r="E54" s="135" t="s">
        <v>756</v>
      </c>
      <c r="F54" s="56" t="s">
        <v>105</v>
      </c>
      <c r="G54" s="56" t="s">
        <v>105</v>
      </c>
      <c r="H54" s="56" t="s">
        <v>105</v>
      </c>
      <c r="I54" s="56"/>
      <c r="J54" s="200"/>
      <c r="K54" s="84" t="s">
        <v>105</v>
      </c>
      <c r="L54" s="253"/>
    </row>
    <row r="55" spans="1:12" s="42" customFormat="1" ht="12.75" customHeight="1">
      <c r="A55" s="132">
        <v>1.146</v>
      </c>
      <c r="B55" s="133" t="s">
        <v>1857</v>
      </c>
      <c r="C55" s="136" t="s">
        <v>1859</v>
      </c>
      <c r="D55" s="137" t="s">
        <v>52</v>
      </c>
      <c r="E55" s="135" t="s">
        <v>1858</v>
      </c>
      <c r="F55" s="55" t="s">
        <v>105</v>
      </c>
      <c r="G55" s="55" t="s">
        <v>105</v>
      </c>
      <c r="H55" s="55" t="s">
        <v>105</v>
      </c>
      <c r="I55" s="56"/>
      <c r="J55" s="200"/>
      <c r="K55" s="84"/>
      <c r="L55" s="253"/>
    </row>
    <row r="56" spans="1:12" s="42" customFormat="1" ht="12.75" customHeight="1">
      <c r="A56" s="132">
        <v>1.146</v>
      </c>
      <c r="B56" s="133" t="s">
        <v>1899</v>
      </c>
      <c r="C56" s="136" t="s">
        <v>1859</v>
      </c>
      <c r="D56" s="137" t="s">
        <v>52</v>
      </c>
      <c r="E56" s="135" t="s">
        <v>1898</v>
      </c>
      <c r="F56" s="55" t="s">
        <v>105</v>
      </c>
      <c r="G56" s="55" t="s">
        <v>105</v>
      </c>
      <c r="H56" s="55" t="s">
        <v>105</v>
      </c>
      <c r="I56" s="56"/>
      <c r="J56" s="200"/>
      <c r="K56" s="84"/>
      <c r="L56" s="253"/>
    </row>
    <row r="57" spans="1:12" s="183" customFormat="1" ht="12.75" customHeight="1">
      <c r="A57" s="132">
        <v>1.178</v>
      </c>
      <c r="B57" s="133" t="s">
        <v>946</v>
      </c>
      <c r="C57" s="134" t="s">
        <v>949</v>
      </c>
      <c r="D57" s="137" t="s">
        <v>52</v>
      </c>
      <c r="E57" s="135" t="s">
        <v>945</v>
      </c>
      <c r="F57" s="56" t="s">
        <v>105</v>
      </c>
      <c r="G57" s="56" t="s">
        <v>105</v>
      </c>
      <c r="H57" s="56" t="s">
        <v>105</v>
      </c>
      <c r="I57" s="56"/>
      <c r="J57" s="200"/>
      <c r="K57" s="84"/>
      <c r="L57" s="254"/>
    </row>
    <row r="58" spans="1:12" s="183" customFormat="1" ht="12.75" customHeight="1">
      <c r="A58" s="132">
        <v>1.178</v>
      </c>
      <c r="B58" s="133" t="s">
        <v>1233</v>
      </c>
      <c r="C58" s="134" t="s">
        <v>949</v>
      </c>
      <c r="D58" s="137" t="s">
        <v>52</v>
      </c>
      <c r="E58" s="135" t="s">
        <v>1234</v>
      </c>
      <c r="F58" s="56" t="s">
        <v>105</v>
      </c>
      <c r="G58" s="56" t="s">
        <v>105</v>
      </c>
      <c r="H58" s="56" t="s">
        <v>105</v>
      </c>
      <c r="I58" s="56"/>
      <c r="J58" s="200"/>
      <c r="K58" s="84"/>
      <c r="L58" s="254"/>
    </row>
    <row r="59" spans="1:12" s="183" customFormat="1" ht="12.75" customHeight="1">
      <c r="A59" s="132">
        <v>1.178</v>
      </c>
      <c r="B59" s="133" t="s">
        <v>1279</v>
      </c>
      <c r="C59" s="134" t="s">
        <v>949</v>
      </c>
      <c r="D59" s="137" t="s">
        <v>52</v>
      </c>
      <c r="E59" s="135" t="s">
        <v>1280</v>
      </c>
      <c r="F59" s="56" t="s">
        <v>105</v>
      </c>
      <c r="G59" s="56" t="s">
        <v>105</v>
      </c>
      <c r="H59" s="56" t="s">
        <v>105</v>
      </c>
      <c r="I59" s="56"/>
      <c r="J59" s="200"/>
      <c r="K59" s="84"/>
      <c r="L59" s="254"/>
    </row>
    <row r="60" spans="1:12" s="183" customFormat="1" ht="12.75" customHeight="1">
      <c r="A60" s="132">
        <v>1.85</v>
      </c>
      <c r="B60" s="133" t="s">
        <v>704</v>
      </c>
      <c r="C60" s="134" t="s">
        <v>482</v>
      </c>
      <c r="D60" s="133" t="s">
        <v>52</v>
      </c>
      <c r="E60" s="135" t="s">
        <v>763</v>
      </c>
      <c r="F60" s="56" t="s">
        <v>105</v>
      </c>
      <c r="G60" s="56" t="s">
        <v>105</v>
      </c>
      <c r="H60" s="56" t="s">
        <v>105</v>
      </c>
      <c r="I60" s="56"/>
      <c r="J60" s="200"/>
      <c r="K60" s="84"/>
      <c r="L60" s="254"/>
    </row>
    <row r="61" spans="1:11" ht="12.75" customHeight="1">
      <c r="A61" s="132">
        <v>1.85</v>
      </c>
      <c r="B61" s="133" t="s">
        <v>703</v>
      </c>
      <c r="C61" s="134" t="s">
        <v>482</v>
      </c>
      <c r="D61" s="133" t="s">
        <v>52</v>
      </c>
      <c r="E61" s="135" t="s">
        <v>764</v>
      </c>
      <c r="F61" s="55" t="s">
        <v>105</v>
      </c>
      <c r="G61" s="55" t="s">
        <v>105</v>
      </c>
      <c r="H61" s="55" t="s">
        <v>105</v>
      </c>
      <c r="I61" s="56"/>
      <c r="J61" s="200"/>
      <c r="K61" s="84"/>
    </row>
    <row r="62" spans="1:11" ht="12.75" customHeight="1">
      <c r="A62" s="132">
        <v>1.85</v>
      </c>
      <c r="B62" s="133" t="s">
        <v>789</v>
      </c>
      <c r="C62" s="134" t="s">
        <v>482</v>
      </c>
      <c r="D62" s="133" t="s">
        <v>52</v>
      </c>
      <c r="E62" s="135" t="s">
        <v>765</v>
      </c>
      <c r="F62" s="55" t="s">
        <v>105</v>
      </c>
      <c r="G62" s="55" t="s">
        <v>105</v>
      </c>
      <c r="H62" s="55" t="s">
        <v>105</v>
      </c>
      <c r="I62" s="56"/>
      <c r="J62" s="200"/>
      <c r="K62" s="84"/>
    </row>
    <row r="63" spans="1:11" ht="12.75" customHeight="1" thickBot="1">
      <c r="A63" s="132">
        <v>1.85</v>
      </c>
      <c r="B63" s="133" t="s">
        <v>790</v>
      </c>
      <c r="C63" s="134" t="s">
        <v>482</v>
      </c>
      <c r="D63" s="133" t="s">
        <v>52</v>
      </c>
      <c r="E63" s="135" t="s">
        <v>788</v>
      </c>
      <c r="F63" s="55" t="s">
        <v>105</v>
      </c>
      <c r="G63" s="55" t="s">
        <v>105</v>
      </c>
      <c r="H63" s="55" t="s">
        <v>105</v>
      </c>
      <c r="I63" s="56"/>
      <c r="J63" s="200"/>
      <c r="K63" s="84"/>
    </row>
    <row r="64" spans="1:11" ht="21" customHeight="1" thickBot="1">
      <c r="A64" s="271" t="s">
        <v>1622</v>
      </c>
      <c r="B64" s="272"/>
      <c r="C64" s="194">
        <f>SUBTOTAL(3,D65:D71)</f>
        <v>7</v>
      </c>
      <c r="D64" s="273" t="s">
        <v>868</v>
      </c>
      <c r="E64" s="274"/>
      <c r="F64" s="274"/>
      <c r="G64" s="274"/>
      <c r="H64" s="274"/>
      <c r="I64" s="274"/>
      <c r="J64" s="274"/>
      <c r="K64" s="275"/>
    </row>
    <row r="65" spans="1:11" ht="12.75" customHeight="1">
      <c r="A65" s="132">
        <v>1.72</v>
      </c>
      <c r="B65" s="133" t="s">
        <v>317</v>
      </c>
      <c r="C65" s="136" t="s">
        <v>480</v>
      </c>
      <c r="D65" s="137" t="s">
        <v>18</v>
      </c>
      <c r="E65" s="135" t="s">
        <v>721</v>
      </c>
      <c r="F65" s="55" t="s">
        <v>105</v>
      </c>
      <c r="G65" s="55" t="s">
        <v>105</v>
      </c>
      <c r="H65" s="55" t="s">
        <v>105</v>
      </c>
      <c r="I65" s="56"/>
      <c r="J65" s="200"/>
      <c r="K65" s="84"/>
    </row>
    <row r="66" spans="1:11" ht="12.75" customHeight="1">
      <c r="A66" s="132">
        <v>1.47</v>
      </c>
      <c r="B66" s="133" t="s">
        <v>324</v>
      </c>
      <c r="C66" s="136" t="s">
        <v>770</v>
      </c>
      <c r="D66" s="137" t="s">
        <v>18</v>
      </c>
      <c r="E66" s="135" t="s">
        <v>729</v>
      </c>
      <c r="F66" s="56" t="s">
        <v>105</v>
      </c>
      <c r="G66" s="56" t="s">
        <v>105</v>
      </c>
      <c r="H66" s="56" t="s">
        <v>105</v>
      </c>
      <c r="I66" s="56"/>
      <c r="J66" s="200"/>
      <c r="K66" s="84"/>
    </row>
    <row r="67" spans="1:11" ht="12.75" customHeight="1">
      <c r="A67" s="132">
        <v>1.178</v>
      </c>
      <c r="B67" s="133" t="s">
        <v>1126</v>
      </c>
      <c r="C67" s="134" t="s">
        <v>949</v>
      </c>
      <c r="D67" s="137" t="s">
        <v>18</v>
      </c>
      <c r="E67" s="135" t="s">
        <v>1127</v>
      </c>
      <c r="F67" s="56" t="s">
        <v>105</v>
      </c>
      <c r="G67" s="56" t="s">
        <v>105</v>
      </c>
      <c r="H67" s="56" t="s">
        <v>105</v>
      </c>
      <c r="I67" s="56"/>
      <c r="J67" s="200"/>
      <c r="K67" s="84"/>
    </row>
    <row r="68" spans="1:11" ht="12.75" customHeight="1">
      <c r="A68" s="132">
        <v>1.95</v>
      </c>
      <c r="B68" s="133" t="s">
        <v>329</v>
      </c>
      <c r="C68" s="134" t="s">
        <v>439</v>
      </c>
      <c r="D68" s="133" t="s">
        <v>18</v>
      </c>
      <c r="E68" s="135" t="s">
        <v>731</v>
      </c>
      <c r="F68" s="55" t="s">
        <v>105</v>
      </c>
      <c r="G68" s="55" t="s">
        <v>105</v>
      </c>
      <c r="H68" s="55" t="s">
        <v>105</v>
      </c>
      <c r="I68" s="56"/>
      <c r="J68" s="200"/>
      <c r="K68" s="84"/>
    </row>
    <row r="69" spans="1:11" ht="12.75" customHeight="1">
      <c r="A69" s="132">
        <v>1.95</v>
      </c>
      <c r="B69" s="133" t="s">
        <v>1005</v>
      </c>
      <c r="C69" s="134" t="s">
        <v>439</v>
      </c>
      <c r="D69" s="133" t="s">
        <v>18</v>
      </c>
      <c r="E69" s="135" t="s">
        <v>1006</v>
      </c>
      <c r="F69" s="55" t="s">
        <v>105</v>
      </c>
      <c r="G69" s="55" t="s">
        <v>105</v>
      </c>
      <c r="H69" s="55" t="s">
        <v>105</v>
      </c>
      <c r="I69" s="56"/>
      <c r="J69" s="200"/>
      <c r="K69" s="84" t="s">
        <v>105</v>
      </c>
    </row>
    <row r="70" spans="1:11" ht="12.75" customHeight="1">
      <c r="A70" s="132">
        <v>1.42</v>
      </c>
      <c r="B70" s="133" t="s">
        <v>355</v>
      </c>
      <c r="C70" s="136" t="s">
        <v>435</v>
      </c>
      <c r="D70" s="137" t="s">
        <v>18</v>
      </c>
      <c r="E70" s="135" t="s">
        <v>755</v>
      </c>
      <c r="F70" s="55"/>
      <c r="G70" s="55"/>
      <c r="H70" s="55"/>
      <c r="I70" s="56"/>
      <c r="J70" s="200"/>
      <c r="K70" s="84" t="s">
        <v>105</v>
      </c>
    </row>
    <row r="71" spans="1:12" s="42" customFormat="1" ht="12.75" customHeight="1" thickBot="1">
      <c r="A71" s="132">
        <v>1.42</v>
      </c>
      <c r="B71" s="133" t="s">
        <v>357</v>
      </c>
      <c r="C71" s="136" t="s">
        <v>435</v>
      </c>
      <c r="D71" s="137" t="s">
        <v>18</v>
      </c>
      <c r="E71" s="135" t="s">
        <v>757</v>
      </c>
      <c r="F71" s="55" t="s">
        <v>105</v>
      </c>
      <c r="G71" s="55" t="s">
        <v>105</v>
      </c>
      <c r="H71" s="55" t="s">
        <v>105</v>
      </c>
      <c r="I71" s="56"/>
      <c r="J71" s="200"/>
      <c r="K71" s="84" t="s">
        <v>105</v>
      </c>
      <c r="L71" s="253"/>
    </row>
    <row r="72" spans="1:11" ht="21" customHeight="1" thickBot="1">
      <c r="A72" s="271" t="s">
        <v>1622</v>
      </c>
      <c r="B72" s="272"/>
      <c r="C72" s="194">
        <f>SUBTOTAL(3,D73:D74)</f>
        <v>2</v>
      </c>
      <c r="D72" s="287" t="s">
        <v>869</v>
      </c>
      <c r="E72" s="288"/>
      <c r="F72" s="288"/>
      <c r="G72" s="288"/>
      <c r="H72" s="288"/>
      <c r="I72" s="288"/>
      <c r="J72" s="288"/>
      <c r="K72" s="289"/>
    </row>
    <row r="73" spans="1:11" ht="12.75" customHeight="1">
      <c r="A73" s="132">
        <v>5.7</v>
      </c>
      <c r="B73" s="133" t="s">
        <v>350</v>
      </c>
      <c r="C73" s="134" t="s">
        <v>483</v>
      </c>
      <c r="D73" s="133" t="s">
        <v>39</v>
      </c>
      <c r="E73" s="135" t="s">
        <v>752</v>
      </c>
      <c r="F73" s="56"/>
      <c r="G73" s="56"/>
      <c r="H73" s="56"/>
      <c r="I73" s="56"/>
      <c r="J73" s="200"/>
      <c r="K73" s="84" t="s">
        <v>105</v>
      </c>
    </row>
    <row r="74" spans="1:11" ht="12.75" customHeight="1" thickBot="1">
      <c r="A74" s="132">
        <v>1.64</v>
      </c>
      <c r="B74" s="133" t="s">
        <v>359</v>
      </c>
      <c r="C74" s="134" t="s">
        <v>479</v>
      </c>
      <c r="D74" s="133" t="s">
        <v>39</v>
      </c>
      <c r="E74" s="135" t="s">
        <v>759</v>
      </c>
      <c r="F74" s="56" t="s">
        <v>105</v>
      </c>
      <c r="G74" s="56" t="s">
        <v>105</v>
      </c>
      <c r="H74" s="56" t="s">
        <v>105</v>
      </c>
      <c r="I74" s="56"/>
      <c r="J74" s="200"/>
      <c r="K74" s="84"/>
    </row>
    <row r="75" spans="1:11" ht="21" customHeight="1" thickBot="1">
      <c r="A75" s="271" t="s">
        <v>1622</v>
      </c>
      <c r="B75" s="272"/>
      <c r="C75" s="194">
        <f>SUBTOTAL(3,D76:D85)</f>
        <v>10</v>
      </c>
      <c r="D75" s="287" t="s">
        <v>870</v>
      </c>
      <c r="E75" s="288"/>
      <c r="F75" s="288"/>
      <c r="G75" s="288"/>
      <c r="H75" s="288"/>
      <c r="I75" s="288"/>
      <c r="J75" s="288"/>
      <c r="K75" s="289"/>
    </row>
    <row r="76" spans="1:12" s="130" customFormat="1" ht="12.75" customHeight="1">
      <c r="A76" s="132">
        <v>1.54</v>
      </c>
      <c r="B76" s="133" t="s">
        <v>460</v>
      </c>
      <c r="C76" s="134" t="s">
        <v>438</v>
      </c>
      <c r="D76" s="133" t="s">
        <v>53</v>
      </c>
      <c r="E76" s="135" t="s">
        <v>718</v>
      </c>
      <c r="F76" s="55" t="s">
        <v>105</v>
      </c>
      <c r="G76" s="55" t="s">
        <v>105</v>
      </c>
      <c r="H76" s="55" t="s">
        <v>105</v>
      </c>
      <c r="I76" s="56"/>
      <c r="J76" s="200"/>
      <c r="K76" s="84"/>
      <c r="L76" s="255"/>
    </row>
    <row r="77" spans="1:11" ht="12.75" customHeight="1">
      <c r="A77" s="132">
        <v>1.44</v>
      </c>
      <c r="B77" s="133" t="s">
        <v>880</v>
      </c>
      <c r="C77" s="136" t="s">
        <v>878</v>
      </c>
      <c r="D77" s="137" t="s">
        <v>53</v>
      </c>
      <c r="E77" s="135" t="s">
        <v>879</v>
      </c>
      <c r="F77" s="55" t="s">
        <v>105</v>
      </c>
      <c r="G77" s="55" t="s">
        <v>105</v>
      </c>
      <c r="H77" s="55" t="s">
        <v>105</v>
      </c>
      <c r="I77" s="56"/>
      <c r="J77" s="200"/>
      <c r="K77" s="84"/>
    </row>
    <row r="78" spans="1:11" ht="12.75" customHeight="1">
      <c r="A78" s="132">
        <v>1.117</v>
      </c>
      <c r="B78" s="133" t="s">
        <v>1277</v>
      </c>
      <c r="C78" s="136" t="s">
        <v>1276</v>
      </c>
      <c r="D78" s="137" t="s">
        <v>53</v>
      </c>
      <c r="E78" s="135" t="s">
        <v>1278</v>
      </c>
      <c r="F78" s="55" t="s">
        <v>105</v>
      </c>
      <c r="G78" s="55" t="s">
        <v>105</v>
      </c>
      <c r="H78" s="55" t="s">
        <v>105</v>
      </c>
      <c r="I78" s="56"/>
      <c r="J78" s="200"/>
      <c r="K78" s="84"/>
    </row>
    <row r="79" spans="1:11" ht="12.75" customHeight="1">
      <c r="A79" s="132">
        <v>1.122</v>
      </c>
      <c r="B79" s="133" t="s">
        <v>1625</v>
      </c>
      <c r="C79" s="136" t="s">
        <v>476</v>
      </c>
      <c r="D79" s="137" t="s">
        <v>53</v>
      </c>
      <c r="E79" s="135" t="s">
        <v>1626</v>
      </c>
      <c r="F79" s="55" t="s">
        <v>105</v>
      </c>
      <c r="G79" s="55" t="s">
        <v>105</v>
      </c>
      <c r="H79" s="55" t="s">
        <v>105</v>
      </c>
      <c r="I79" s="56"/>
      <c r="J79" s="200"/>
      <c r="K79" s="84"/>
    </row>
    <row r="80" spans="1:11" ht="12.75" customHeight="1">
      <c r="A80" s="132">
        <v>1.95</v>
      </c>
      <c r="B80" s="133" t="s">
        <v>1057</v>
      </c>
      <c r="C80" s="134" t="s">
        <v>439</v>
      </c>
      <c r="D80" s="133" t="s">
        <v>53</v>
      </c>
      <c r="E80" s="135" t="s">
        <v>1058</v>
      </c>
      <c r="F80" s="55" t="s">
        <v>105</v>
      </c>
      <c r="G80" s="55" t="s">
        <v>105</v>
      </c>
      <c r="H80" s="55" t="s">
        <v>105</v>
      </c>
      <c r="I80" s="56"/>
      <c r="J80" s="200"/>
      <c r="K80" s="84"/>
    </row>
    <row r="81" spans="1:11" ht="12.75" customHeight="1">
      <c r="A81" s="132">
        <v>1.95</v>
      </c>
      <c r="B81" s="133" t="s">
        <v>344</v>
      </c>
      <c r="C81" s="134" t="s">
        <v>439</v>
      </c>
      <c r="D81" s="133" t="s">
        <v>53</v>
      </c>
      <c r="E81" s="135" t="s">
        <v>746</v>
      </c>
      <c r="F81" s="55" t="s">
        <v>105</v>
      </c>
      <c r="G81" s="55" t="s">
        <v>105</v>
      </c>
      <c r="H81" s="55" t="s">
        <v>105</v>
      </c>
      <c r="I81" s="56"/>
      <c r="J81" s="200"/>
      <c r="K81" s="84"/>
    </row>
    <row r="82" spans="1:11" ht="12.75" customHeight="1">
      <c r="A82" s="132">
        <v>1.95</v>
      </c>
      <c r="B82" s="133" t="s">
        <v>345</v>
      </c>
      <c r="C82" s="134" t="s">
        <v>439</v>
      </c>
      <c r="D82" s="133" t="s">
        <v>53</v>
      </c>
      <c r="E82" s="135" t="s">
        <v>747</v>
      </c>
      <c r="F82" s="55"/>
      <c r="G82" s="55" t="s">
        <v>105</v>
      </c>
      <c r="H82" s="55" t="s">
        <v>105</v>
      </c>
      <c r="I82" s="56"/>
      <c r="J82" s="200"/>
      <c r="K82" s="84"/>
    </row>
    <row r="83" spans="1:11" ht="12.75" customHeight="1">
      <c r="A83" s="132">
        <v>1.95</v>
      </c>
      <c r="B83" s="133" t="s">
        <v>339</v>
      </c>
      <c r="C83" s="134" t="s">
        <v>439</v>
      </c>
      <c r="D83" s="133" t="s">
        <v>53</v>
      </c>
      <c r="E83" s="135" t="s">
        <v>1692</v>
      </c>
      <c r="F83" s="55" t="s">
        <v>105</v>
      </c>
      <c r="G83" s="55" t="s">
        <v>105</v>
      </c>
      <c r="H83" s="55" t="s">
        <v>105</v>
      </c>
      <c r="I83" s="56"/>
      <c r="J83" s="200"/>
      <c r="K83" s="84"/>
    </row>
    <row r="84" spans="1:11" ht="12.75" customHeight="1">
      <c r="A84" s="132">
        <v>5.7</v>
      </c>
      <c r="B84" s="133" t="s">
        <v>348</v>
      </c>
      <c r="C84" s="134" t="s">
        <v>483</v>
      </c>
      <c r="D84" s="133" t="s">
        <v>53</v>
      </c>
      <c r="E84" s="135" t="s">
        <v>750</v>
      </c>
      <c r="F84" s="56"/>
      <c r="G84" s="56"/>
      <c r="H84" s="56"/>
      <c r="I84" s="56"/>
      <c r="J84" s="200"/>
      <c r="K84" s="84" t="s">
        <v>105</v>
      </c>
    </row>
    <row r="85" spans="1:11" ht="12.75" customHeight="1" thickBot="1">
      <c r="A85" s="132">
        <v>1.64</v>
      </c>
      <c r="B85" s="133" t="s">
        <v>360</v>
      </c>
      <c r="C85" s="134" t="s">
        <v>479</v>
      </c>
      <c r="D85" s="133" t="s">
        <v>53</v>
      </c>
      <c r="E85" s="135" t="s">
        <v>760</v>
      </c>
      <c r="F85" s="56" t="s">
        <v>105</v>
      </c>
      <c r="G85" s="56" t="s">
        <v>105</v>
      </c>
      <c r="H85" s="56" t="s">
        <v>105</v>
      </c>
      <c r="I85" s="56"/>
      <c r="J85" s="200"/>
      <c r="K85" s="84"/>
    </row>
    <row r="86" spans="1:11" ht="21" customHeight="1" thickBot="1">
      <c r="A86" s="271" t="s">
        <v>1622</v>
      </c>
      <c r="B86" s="272"/>
      <c r="C86" s="194">
        <f>SUBTOTAL(3,D87:D92)</f>
        <v>6</v>
      </c>
      <c r="D86" s="287" t="s">
        <v>871</v>
      </c>
      <c r="E86" s="288"/>
      <c r="F86" s="288"/>
      <c r="G86" s="288"/>
      <c r="H86" s="288"/>
      <c r="I86" s="288"/>
      <c r="J86" s="288"/>
      <c r="K86" s="289"/>
    </row>
    <row r="87" spans="1:11" ht="12.75" customHeight="1">
      <c r="A87" s="132">
        <v>1.95</v>
      </c>
      <c r="B87" s="133" t="s">
        <v>1120</v>
      </c>
      <c r="C87" s="134" t="s">
        <v>439</v>
      </c>
      <c r="D87" s="133" t="s">
        <v>93</v>
      </c>
      <c r="E87" s="135" t="s">
        <v>1295</v>
      </c>
      <c r="F87" s="55" t="s">
        <v>105</v>
      </c>
      <c r="G87" s="55" t="s">
        <v>105</v>
      </c>
      <c r="H87" s="55" t="s">
        <v>105</v>
      </c>
      <c r="I87" s="56"/>
      <c r="J87" s="200"/>
      <c r="K87" s="84"/>
    </row>
    <row r="88" spans="1:11" ht="12.75" customHeight="1">
      <c r="A88" s="132">
        <v>1.95</v>
      </c>
      <c r="B88" s="133" t="s">
        <v>332</v>
      </c>
      <c r="C88" s="134" t="s">
        <v>439</v>
      </c>
      <c r="D88" s="133" t="s">
        <v>93</v>
      </c>
      <c r="E88" s="135" t="s">
        <v>734</v>
      </c>
      <c r="F88" s="55" t="s">
        <v>105</v>
      </c>
      <c r="G88" s="55" t="s">
        <v>105</v>
      </c>
      <c r="H88" s="55" t="s">
        <v>105</v>
      </c>
      <c r="I88" s="56"/>
      <c r="J88" s="200"/>
      <c r="K88" s="84"/>
    </row>
    <row r="89" spans="1:11" ht="12.75" customHeight="1">
      <c r="A89" s="132">
        <v>1.95</v>
      </c>
      <c r="B89" s="133" t="s">
        <v>341</v>
      </c>
      <c r="C89" s="134" t="s">
        <v>439</v>
      </c>
      <c r="D89" s="133" t="s">
        <v>93</v>
      </c>
      <c r="E89" s="135" t="s">
        <v>742</v>
      </c>
      <c r="F89" s="56" t="s">
        <v>105</v>
      </c>
      <c r="G89" s="56" t="s">
        <v>105</v>
      </c>
      <c r="H89" s="56" t="s">
        <v>105</v>
      </c>
      <c r="I89" s="56"/>
      <c r="J89" s="200"/>
      <c r="K89" s="84" t="s">
        <v>105</v>
      </c>
    </row>
    <row r="90" spans="1:11" ht="12.75" customHeight="1">
      <c r="A90" s="132">
        <v>1.95</v>
      </c>
      <c r="B90" s="133" t="s">
        <v>947</v>
      </c>
      <c r="C90" s="134" t="s">
        <v>439</v>
      </c>
      <c r="D90" s="133" t="s">
        <v>93</v>
      </c>
      <c r="E90" s="135" t="s">
        <v>948</v>
      </c>
      <c r="F90" s="56" t="s">
        <v>105</v>
      </c>
      <c r="G90" s="56" t="s">
        <v>105</v>
      </c>
      <c r="H90" s="56" t="s">
        <v>105</v>
      </c>
      <c r="I90" s="56"/>
      <c r="J90" s="200"/>
      <c r="K90" s="84"/>
    </row>
    <row r="91" spans="1:11" ht="12.75" customHeight="1">
      <c r="A91" s="132">
        <v>1.178</v>
      </c>
      <c r="B91" s="133" t="s">
        <v>347</v>
      </c>
      <c r="C91" s="134" t="s">
        <v>949</v>
      </c>
      <c r="D91" s="133" t="s">
        <v>93</v>
      </c>
      <c r="E91" s="135" t="s">
        <v>749</v>
      </c>
      <c r="F91" s="56"/>
      <c r="G91" s="56" t="s">
        <v>105</v>
      </c>
      <c r="H91" s="56" t="s">
        <v>105</v>
      </c>
      <c r="I91" s="56"/>
      <c r="J91" s="200"/>
      <c r="K91" s="84"/>
    </row>
    <row r="92" spans="1:12" s="42" customFormat="1" ht="12.75" customHeight="1" thickBot="1">
      <c r="A92" s="132">
        <v>1.42</v>
      </c>
      <c r="B92" s="133" t="s">
        <v>358</v>
      </c>
      <c r="C92" s="136" t="s">
        <v>435</v>
      </c>
      <c r="D92" s="137" t="s">
        <v>93</v>
      </c>
      <c r="E92" s="135" t="s">
        <v>758</v>
      </c>
      <c r="F92" s="55" t="s">
        <v>105</v>
      </c>
      <c r="G92" s="55" t="s">
        <v>105</v>
      </c>
      <c r="H92" s="55" t="s">
        <v>105</v>
      </c>
      <c r="I92" s="56"/>
      <c r="J92" s="200"/>
      <c r="K92" s="84" t="s">
        <v>105</v>
      </c>
      <c r="L92" s="253"/>
    </row>
    <row r="93" spans="1:12" s="183" customFormat="1" ht="21" customHeight="1" thickBot="1">
      <c r="A93" s="271" t="s">
        <v>1622</v>
      </c>
      <c r="B93" s="272"/>
      <c r="C93" s="194">
        <f>SUBTOTAL(3,D94:D96)</f>
        <v>3</v>
      </c>
      <c r="D93" s="287" t="s">
        <v>872</v>
      </c>
      <c r="E93" s="288"/>
      <c r="F93" s="288"/>
      <c r="G93" s="288"/>
      <c r="H93" s="288"/>
      <c r="I93" s="288"/>
      <c r="J93" s="288"/>
      <c r="K93" s="289"/>
      <c r="L93" s="254"/>
    </row>
    <row r="94" spans="1:12" s="183" customFormat="1" ht="12.75" customHeight="1">
      <c r="A94" s="127">
        <v>1.16</v>
      </c>
      <c r="B94" s="75" t="s">
        <v>1900</v>
      </c>
      <c r="C94" s="92" t="s">
        <v>1901</v>
      </c>
      <c r="D94" s="75" t="s">
        <v>799</v>
      </c>
      <c r="E94" s="77" t="s">
        <v>1902</v>
      </c>
      <c r="F94" s="56" t="s">
        <v>105</v>
      </c>
      <c r="G94" s="56" t="s">
        <v>105</v>
      </c>
      <c r="H94" s="56" t="s">
        <v>105</v>
      </c>
      <c r="I94" s="56"/>
      <c r="J94" s="200"/>
      <c r="K94" s="84"/>
      <c r="L94" s="254"/>
    </row>
    <row r="95" spans="1:12" s="183" customFormat="1" ht="12.75" customHeight="1">
      <c r="A95" s="217">
        <v>1.95</v>
      </c>
      <c r="B95" s="75" t="s">
        <v>1471</v>
      </c>
      <c r="C95" s="92" t="s">
        <v>439</v>
      </c>
      <c r="D95" s="75" t="s">
        <v>799</v>
      </c>
      <c r="E95" s="77" t="s">
        <v>1472</v>
      </c>
      <c r="F95" s="56" t="s">
        <v>105</v>
      </c>
      <c r="G95" s="56" t="s">
        <v>105</v>
      </c>
      <c r="H95" s="56" t="s">
        <v>105</v>
      </c>
      <c r="I95" s="56"/>
      <c r="J95" s="200"/>
      <c r="K95" s="84"/>
      <c r="L95" s="254"/>
    </row>
    <row r="96" spans="1:12" s="183" customFormat="1" ht="12.75" customHeight="1" thickBot="1">
      <c r="A96" s="79">
        <v>1.95</v>
      </c>
      <c r="B96" s="75" t="s">
        <v>1121</v>
      </c>
      <c r="C96" s="92" t="s">
        <v>439</v>
      </c>
      <c r="D96" s="75" t="s">
        <v>799</v>
      </c>
      <c r="E96" s="77" t="s">
        <v>1473</v>
      </c>
      <c r="F96" s="56" t="s">
        <v>105</v>
      </c>
      <c r="G96" s="56" t="s">
        <v>105</v>
      </c>
      <c r="H96" s="56" t="s">
        <v>105</v>
      </c>
      <c r="I96" s="56"/>
      <c r="J96" s="200"/>
      <c r="K96" s="84"/>
      <c r="L96" s="254"/>
    </row>
    <row r="97" spans="1:11" ht="21" thickBot="1">
      <c r="A97" s="271" t="s">
        <v>1622</v>
      </c>
      <c r="B97" s="272"/>
      <c r="C97" s="194">
        <f>SUBTOTAL(3,D98:D108)</f>
        <v>11</v>
      </c>
      <c r="D97" s="287" t="s">
        <v>873</v>
      </c>
      <c r="E97" s="288"/>
      <c r="F97" s="288"/>
      <c r="G97" s="288"/>
      <c r="H97" s="288"/>
      <c r="I97" s="288"/>
      <c r="J97" s="288"/>
      <c r="K97" s="289"/>
    </row>
    <row r="98" spans="1:11" ht="12.75" customHeight="1">
      <c r="A98" s="79">
        <v>1.95</v>
      </c>
      <c r="B98" s="75" t="s">
        <v>342</v>
      </c>
      <c r="C98" s="92" t="s">
        <v>439</v>
      </c>
      <c r="D98" s="75" t="s">
        <v>800</v>
      </c>
      <c r="E98" s="77" t="s">
        <v>743</v>
      </c>
      <c r="F98" s="55" t="s">
        <v>105</v>
      </c>
      <c r="G98" s="55" t="s">
        <v>105</v>
      </c>
      <c r="H98" s="55" t="s">
        <v>105</v>
      </c>
      <c r="I98" s="56"/>
      <c r="J98" s="200"/>
      <c r="K98" s="84"/>
    </row>
    <row r="99" spans="1:11" ht="12.75" customHeight="1">
      <c r="A99" s="79">
        <v>1.95</v>
      </c>
      <c r="B99" s="75" t="s">
        <v>343</v>
      </c>
      <c r="C99" s="92" t="s">
        <v>439</v>
      </c>
      <c r="D99" s="75" t="s">
        <v>800</v>
      </c>
      <c r="E99" s="77" t="s">
        <v>744</v>
      </c>
      <c r="F99" s="56" t="s">
        <v>105</v>
      </c>
      <c r="G99" s="56" t="s">
        <v>105</v>
      </c>
      <c r="H99" s="56" t="s">
        <v>105</v>
      </c>
      <c r="I99" s="56"/>
      <c r="J99" s="200"/>
      <c r="K99" s="84"/>
    </row>
    <row r="100" spans="1:11" ht="12.75" customHeight="1">
      <c r="A100" s="132">
        <v>1.95</v>
      </c>
      <c r="B100" s="133" t="s">
        <v>1082</v>
      </c>
      <c r="C100" s="134" t="s">
        <v>439</v>
      </c>
      <c r="D100" s="133" t="s">
        <v>800</v>
      </c>
      <c r="E100" s="135" t="s">
        <v>1081</v>
      </c>
      <c r="F100" s="56" t="s">
        <v>105</v>
      </c>
      <c r="G100" s="56" t="s">
        <v>105</v>
      </c>
      <c r="H100" s="56" t="s">
        <v>105</v>
      </c>
      <c r="I100" s="56"/>
      <c r="J100" s="200"/>
      <c r="K100" s="84"/>
    </row>
    <row r="101" spans="1:11" ht="12.75" customHeight="1">
      <c r="A101" s="132">
        <v>1.95</v>
      </c>
      <c r="B101" s="133" t="s">
        <v>1102</v>
      </c>
      <c r="C101" s="134" t="s">
        <v>439</v>
      </c>
      <c r="D101" s="133" t="s">
        <v>800</v>
      </c>
      <c r="E101" s="135" t="s">
        <v>1103</v>
      </c>
      <c r="F101" s="56" t="s">
        <v>105</v>
      </c>
      <c r="G101" s="56" t="s">
        <v>105</v>
      </c>
      <c r="H101" s="56" t="s">
        <v>105</v>
      </c>
      <c r="I101" s="56"/>
      <c r="J101" s="200"/>
      <c r="K101" s="84"/>
    </row>
    <row r="102" spans="1:11" ht="12.75" customHeight="1">
      <c r="A102" s="132">
        <v>1.95</v>
      </c>
      <c r="B102" s="133" t="s">
        <v>1770</v>
      </c>
      <c r="C102" s="134" t="s">
        <v>439</v>
      </c>
      <c r="D102" s="133" t="s">
        <v>800</v>
      </c>
      <c r="E102" s="135" t="s">
        <v>1769</v>
      </c>
      <c r="F102" s="56" t="s">
        <v>105</v>
      </c>
      <c r="G102" s="56" t="s">
        <v>105</v>
      </c>
      <c r="H102" s="56" t="s">
        <v>105</v>
      </c>
      <c r="I102" s="56"/>
      <c r="J102" s="200"/>
      <c r="K102" s="84"/>
    </row>
    <row r="103" spans="1:11" ht="12.75" customHeight="1">
      <c r="A103" s="79">
        <v>1.72</v>
      </c>
      <c r="B103" s="75" t="s">
        <v>351</v>
      </c>
      <c r="C103" s="92" t="s">
        <v>480</v>
      </c>
      <c r="D103" s="75" t="s">
        <v>800</v>
      </c>
      <c r="E103" s="77" t="s">
        <v>753</v>
      </c>
      <c r="F103" s="55" t="s">
        <v>105</v>
      </c>
      <c r="G103" s="55" t="s">
        <v>105</v>
      </c>
      <c r="H103" s="55" t="s">
        <v>105</v>
      </c>
      <c r="I103" s="56"/>
      <c r="J103" s="200"/>
      <c r="K103" s="84"/>
    </row>
    <row r="104" spans="1:11" ht="12.75" customHeight="1">
      <c r="A104" s="83">
        <v>1.72</v>
      </c>
      <c r="B104" s="75" t="s">
        <v>352</v>
      </c>
      <c r="C104" s="92" t="s">
        <v>480</v>
      </c>
      <c r="D104" s="75" t="s">
        <v>800</v>
      </c>
      <c r="E104" s="77" t="s">
        <v>754</v>
      </c>
      <c r="F104" s="55" t="s">
        <v>105</v>
      </c>
      <c r="G104" s="55" t="s">
        <v>105</v>
      </c>
      <c r="H104" s="55" t="s">
        <v>105</v>
      </c>
      <c r="I104" s="56"/>
      <c r="J104" s="200"/>
      <c r="K104" s="84"/>
    </row>
    <row r="105" spans="1:11" ht="12.75" customHeight="1">
      <c r="A105" s="83">
        <v>1.72</v>
      </c>
      <c r="B105" s="75" t="s">
        <v>1106</v>
      </c>
      <c r="C105" s="92" t="s">
        <v>480</v>
      </c>
      <c r="D105" s="75" t="s">
        <v>800</v>
      </c>
      <c r="E105" s="77" t="s">
        <v>1107</v>
      </c>
      <c r="F105" s="55" t="s">
        <v>105</v>
      </c>
      <c r="G105" s="55" t="s">
        <v>105</v>
      </c>
      <c r="H105" s="55" t="s">
        <v>105</v>
      </c>
      <c r="I105" s="56"/>
      <c r="J105" s="200"/>
      <c r="K105" s="84"/>
    </row>
    <row r="106" spans="1:11" ht="12.75" customHeight="1">
      <c r="A106" s="79">
        <v>1.133</v>
      </c>
      <c r="B106" s="75" t="s">
        <v>767</v>
      </c>
      <c r="C106" s="92" t="s">
        <v>771</v>
      </c>
      <c r="D106" s="75" t="s">
        <v>800</v>
      </c>
      <c r="E106" s="77" t="s">
        <v>1429</v>
      </c>
      <c r="F106" s="56" t="s">
        <v>105</v>
      </c>
      <c r="G106" s="56" t="s">
        <v>105</v>
      </c>
      <c r="H106" s="56" t="s">
        <v>105</v>
      </c>
      <c r="I106" s="56"/>
      <c r="J106" s="200"/>
      <c r="K106" s="84"/>
    </row>
    <row r="107" spans="1:12" s="42" customFormat="1" ht="12.75" customHeight="1">
      <c r="A107" s="132">
        <v>1.42</v>
      </c>
      <c r="B107" s="133" t="s">
        <v>353</v>
      </c>
      <c r="C107" s="134" t="s">
        <v>435</v>
      </c>
      <c r="D107" s="133" t="s">
        <v>800</v>
      </c>
      <c r="E107" s="135" t="s">
        <v>1618</v>
      </c>
      <c r="F107" s="55" t="s">
        <v>105</v>
      </c>
      <c r="G107" s="55" t="s">
        <v>105</v>
      </c>
      <c r="H107" s="55" t="s">
        <v>105</v>
      </c>
      <c r="I107" s="56"/>
      <c r="J107" s="200"/>
      <c r="K107" s="84" t="s">
        <v>105</v>
      </c>
      <c r="L107" s="253"/>
    </row>
    <row r="108" spans="1:12" s="183" customFormat="1" ht="12.75" customHeight="1" thickBot="1">
      <c r="A108" s="80">
        <v>1.42</v>
      </c>
      <c r="B108" s="76" t="s">
        <v>354</v>
      </c>
      <c r="C108" s="92" t="s">
        <v>435</v>
      </c>
      <c r="D108" s="76" t="s">
        <v>800</v>
      </c>
      <c r="E108" s="78" t="s">
        <v>766</v>
      </c>
      <c r="F108" s="55"/>
      <c r="G108" s="55"/>
      <c r="H108" s="55"/>
      <c r="I108" s="58"/>
      <c r="J108" s="202"/>
      <c r="K108" s="84" t="s">
        <v>105</v>
      </c>
      <c r="L108" s="254"/>
    </row>
    <row r="109" spans="1:11" ht="21" thickBot="1">
      <c r="A109" s="290" t="s">
        <v>74</v>
      </c>
      <c r="B109" s="291"/>
      <c r="C109" s="291"/>
      <c r="D109" s="291"/>
      <c r="E109" s="292"/>
      <c r="F109" s="264" t="s">
        <v>1621</v>
      </c>
      <c r="G109" s="265"/>
      <c r="H109" s="265"/>
      <c r="I109" s="265"/>
      <c r="J109" s="266"/>
      <c r="K109" s="189">
        <f>C110+C152+C162+C191+C222+C238+C270+C309</f>
        <v>242</v>
      </c>
    </row>
    <row r="110" spans="1:11" ht="21" thickBot="1">
      <c r="A110" s="271" t="s">
        <v>1622</v>
      </c>
      <c r="B110" s="272"/>
      <c r="C110" s="194">
        <f>SUBTOTAL(3,D111:D151)</f>
        <v>41</v>
      </c>
      <c r="D110" s="287" t="s">
        <v>801</v>
      </c>
      <c r="E110" s="288"/>
      <c r="F110" s="288"/>
      <c r="G110" s="288"/>
      <c r="H110" s="288"/>
      <c r="I110" s="288"/>
      <c r="J110" s="288"/>
      <c r="K110" s="289"/>
    </row>
    <row r="111" spans="1:11" ht="12.75" customHeight="1">
      <c r="A111" s="127">
        <v>1.178</v>
      </c>
      <c r="B111" s="75" t="s">
        <v>1204</v>
      </c>
      <c r="C111" s="92" t="s">
        <v>949</v>
      </c>
      <c r="D111" s="154" t="s">
        <v>802</v>
      </c>
      <c r="E111" s="77" t="s">
        <v>1206</v>
      </c>
      <c r="F111" s="56" t="s">
        <v>105</v>
      </c>
      <c r="G111" s="56" t="s">
        <v>105</v>
      </c>
      <c r="H111" s="56" t="s">
        <v>105</v>
      </c>
      <c r="I111" s="56"/>
      <c r="J111" s="200"/>
      <c r="K111" s="84"/>
    </row>
    <row r="112" spans="1:11" ht="12.75" customHeight="1">
      <c r="A112" s="127">
        <v>1.178</v>
      </c>
      <c r="B112" s="75" t="s">
        <v>1205</v>
      </c>
      <c r="C112" s="92" t="s">
        <v>949</v>
      </c>
      <c r="D112" s="154" t="s">
        <v>802</v>
      </c>
      <c r="E112" s="77" t="s">
        <v>1207</v>
      </c>
      <c r="F112" s="56" t="s">
        <v>105</v>
      </c>
      <c r="G112" s="56" t="s">
        <v>105</v>
      </c>
      <c r="H112" s="56" t="s">
        <v>105</v>
      </c>
      <c r="I112" s="56"/>
      <c r="J112" s="200"/>
      <c r="K112" s="84"/>
    </row>
    <row r="113" spans="1:11" ht="12.75" customHeight="1">
      <c r="A113" s="127">
        <v>1.195</v>
      </c>
      <c r="B113" s="75" t="s">
        <v>1427</v>
      </c>
      <c r="C113" s="92" t="s">
        <v>1237</v>
      </c>
      <c r="D113" s="154" t="s">
        <v>802</v>
      </c>
      <c r="E113" s="77" t="s">
        <v>1430</v>
      </c>
      <c r="F113" s="56" t="s">
        <v>105</v>
      </c>
      <c r="G113" s="56" t="s">
        <v>105</v>
      </c>
      <c r="H113" s="56" t="s">
        <v>105</v>
      </c>
      <c r="I113" s="56"/>
      <c r="J113" s="200"/>
      <c r="K113" s="84"/>
    </row>
    <row r="114" spans="1:11" ht="12.75" customHeight="1">
      <c r="A114" s="79">
        <v>1.185</v>
      </c>
      <c r="B114" s="75" t="s">
        <v>1060</v>
      </c>
      <c r="C114" s="92" t="s">
        <v>1059</v>
      </c>
      <c r="D114" s="154" t="s">
        <v>802</v>
      </c>
      <c r="E114" s="77" t="s">
        <v>1061</v>
      </c>
      <c r="F114" s="56" t="s">
        <v>105</v>
      </c>
      <c r="G114" s="56" t="s">
        <v>105</v>
      </c>
      <c r="H114" s="56" t="s">
        <v>105</v>
      </c>
      <c r="I114" s="56"/>
      <c r="J114" s="200"/>
      <c r="K114" s="84"/>
    </row>
    <row r="115" spans="1:11" ht="12.75" customHeight="1">
      <c r="A115" s="79">
        <v>2.392</v>
      </c>
      <c r="B115" s="75" t="s">
        <v>1839</v>
      </c>
      <c r="C115" s="92" t="s">
        <v>1374</v>
      </c>
      <c r="D115" s="154" t="s">
        <v>802</v>
      </c>
      <c r="E115" s="77" t="s">
        <v>1840</v>
      </c>
      <c r="F115" s="56" t="s">
        <v>105</v>
      </c>
      <c r="G115" s="56" t="s">
        <v>105</v>
      </c>
      <c r="H115" s="56" t="s">
        <v>105</v>
      </c>
      <c r="I115" s="56"/>
      <c r="J115" s="200"/>
      <c r="K115" s="84"/>
    </row>
    <row r="116" spans="1:11" ht="12.75" customHeight="1">
      <c r="A116" s="79">
        <v>1.82</v>
      </c>
      <c r="B116" s="75" t="s">
        <v>1416</v>
      </c>
      <c r="C116" s="92" t="s">
        <v>1415</v>
      </c>
      <c r="D116" s="154" t="s">
        <v>802</v>
      </c>
      <c r="E116" s="77" t="s">
        <v>1418</v>
      </c>
      <c r="F116" s="56" t="s">
        <v>105</v>
      </c>
      <c r="G116" s="56" t="s">
        <v>105</v>
      </c>
      <c r="H116" s="56" t="s">
        <v>105</v>
      </c>
      <c r="I116" s="56"/>
      <c r="J116" s="200"/>
      <c r="K116" s="84"/>
    </row>
    <row r="117" spans="1:11" ht="12.75" customHeight="1">
      <c r="A117" s="79">
        <v>1.82</v>
      </c>
      <c r="B117" s="75" t="s">
        <v>1417</v>
      </c>
      <c r="C117" s="92" t="s">
        <v>1415</v>
      </c>
      <c r="D117" s="154" t="s">
        <v>802</v>
      </c>
      <c r="E117" s="77" t="s">
        <v>1419</v>
      </c>
      <c r="F117" s="56" t="s">
        <v>105</v>
      </c>
      <c r="G117" s="56" t="s">
        <v>105</v>
      </c>
      <c r="H117" s="56" t="s">
        <v>105</v>
      </c>
      <c r="I117" s="56"/>
      <c r="J117" s="200"/>
      <c r="K117" s="84"/>
    </row>
    <row r="118" spans="1:12" s="88" customFormat="1" ht="12.75" customHeight="1">
      <c r="A118" s="155">
        <v>2.383</v>
      </c>
      <c r="B118" s="75" t="s">
        <v>1407</v>
      </c>
      <c r="C118" s="134" t="s">
        <v>798</v>
      </c>
      <c r="D118" s="154" t="s">
        <v>802</v>
      </c>
      <c r="E118" s="77" t="s">
        <v>1408</v>
      </c>
      <c r="F118" s="56" t="s">
        <v>105</v>
      </c>
      <c r="G118" s="56" t="s">
        <v>105</v>
      </c>
      <c r="H118" s="56" t="s">
        <v>105</v>
      </c>
      <c r="I118" s="86"/>
      <c r="J118" s="203"/>
      <c r="K118" s="87"/>
      <c r="L118" s="256"/>
    </row>
    <row r="119" spans="1:12" s="88" customFormat="1" ht="12.75" customHeight="1">
      <c r="A119" s="132">
        <v>1.95</v>
      </c>
      <c r="B119" s="133" t="s">
        <v>389</v>
      </c>
      <c r="C119" s="134" t="s">
        <v>439</v>
      </c>
      <c r="D119" s="154" t="s">
        <v>802</v>
      </c>
      <c r="E119" s="135" t="s">
        <v>509</v>
      </c>
      <c r="F119" s="56" t="s">
        <v>105</v>
      </c>
      <c r="G119" s="56" t="s">
        <v>105</v>
      </c>
      <c r="H119" s="56" t="s">
        <v>105</v>
      </c>
      <c r="I119" s="56"/>
      <c r="J119" s="200"/>
      <c r="K119" s="84"/>
      <c r="L119" s="256"/>
    </row>
    <row r="120" spans="1:11" ht="12.75" customHeight="1">
      <c r="A120" s="132">
        <v>1.95</v>
      </c>
      <c r="B120" s="133" t="s">
        <v>390</v>
      </c>
      <c r="C120" s="134" t="s">
        <v>439</v>
      </c>
      <c r="D120" s="154" t="s">
        <v>802</v>
      </c>
      <c r="E120" s="135" t="s">
        <v>510</v>
      </c>
      <c r="F120" s="56" t="s">
        <v>105</v>
      </c>
      <c r="G120" s="56" t="s">
        <v>105</v>
      </c>
      <c r="H120" s="56" t="s">
        <v>105</v>
      </c>
      <c r="I120" s="56"/>
      <c r="J120" s="200"/>
      <c r="K120" s="84"/>
    </row>
    <row r="121" spans="1:11" ht="12.75" customHeight="1">
      <c r="A121" s="132">
        <v>1.95</v>
      </c>
      <c r="B121" s="133" t="s">
        <v>391</v>
      </c>
      <c r="C121" s="134" t="s">
        <v>439</v>
      </c>
      <c r="D121" s="154" t="s">
        <v>802</v>
      </c>
      <c r="E121" s="135" t="s">
        <v>511</v>
      </c>
      <c r="F121" s="56" t="s">
        <v>105</v>
      </c>
      <c r="G121" s="56" t="s">
        <v>105</v>
      </c>
      <c r="H121" s="56" t="s">
        <v>105</v>
      </c>
      <c r="I121" s="56"/>
      <c r="J121" s="200"/>
      <c r="K121" s="84"/>
    </row>
    <row r="122" spans="1:11" ht="12.75" customHeight="1">
      <c r="A122" s="79">
        <v>1.95</v>
      </c>
      <c r="B122" s="75" t="s">
        <v>684</v>
      </c>
      <c r="C122" s="92" t="s">
        <v>439</v>
      </c>
      <c r="D122" s="154" t="s">
        <v>802</v>
      </c>
      <c r="E122" s="77" t="s">
        <v>681</v>
      </c>
      <c r="F122" s="56" t="s">
        <v>105</v>
      </c>
      <c r="G122" s="56" t="s">
        <v>105</v>
      </c>
      <c r="H122" s="56" t="s">
        <v>105</v>
      </c>
      <c r="I122" s="56"/>
      <c r="J122" s="200"/>
      <c r="K122" s="84"/>
    </row>
    <row r="123" spans="1:11" ht="12.75" customHeight="1">
      <c r="A123" s="79">
        <v>1.95</v>
      </c>
      <c r="B123" s="75" t="s">
        <v>392</v>
      </c>
      <c r="C123" s="92" t="s">
        <v>439</v>
      </c>
      <c r="D123" s="154" t="s">
        <v>802</v>
      </c>
      <c r="E123" s="77" t="s">
        <v>512</v>
      </c>
      <c r="F123" s="56" t="s">
        <v>105</v>
      </c>
      <c r="G123" s="56" t="s">
        <v>105</v>
      </c>
      <c r="H123" s="56" t="s">
        <v>105</v>
      </c>
      <c r="I123" s="56"/>
      <c r="J123" s="200"/>
      <c r="K123" s="84"/>
    </row>
    <row r="124" spans="1:11" ht="12.75" customHeight="1">
      <c r="A124" s="79">
        <v>1.95</v>
      </c>
      <c r="B124" s="75" t="s">
        <v>393</v>
      </c>
      <c r="C124" s="92" t="s">
        <v>439</v>
      </c>
      <c r="D124" s="154" t="s">
        <v>802</v>
      </c>
      <c r="E124" s="77" t="s">
        <v>513</v>
      </c>
      <c r="F124" s="56" t="s">
        <v>105</v>
      </c>
      <c r="G124" s="56" t="s">
        <v>105</v>
      </c>
      <c r="H124" s="56" t="s">
        <v>105</v>
      </c>
      <c r="I124" s="56"/>
      <c r="J124" s="200"/>
      <c r="K124" s="84"/>
    </row>
    <row r="125" spans="1:12" s="44" customFormat="1" ht="12.75" customHeight="1">
      <c r="A125" s="79">
        <v>1.95</v>
      </c>
      <c r="B125" s="75" t="s">
        <v>398</v>
      </c>
      <c r="C125" s="92" t="s">
        <v>439</v>
      </c>
      <c r="D125" s="154" t="s">
        <v>802</v>
      </c>
      <c r="E125" s="77" t="s">
        <v>645</v>
      </c>
      <c r="F125" s="56" t="s">
        <v>105</v>
      </c>
      <c r="G125" s="56" t="s">
        <v>105</v>
      </c>
      <c r="H125" s="56" t="s">
        <v>105</v>
      </c>
      <c r="I125" s="56"/>
      <c r="J125" s="200"/>
      <c r="K125" s="84"/>
      <c r="L125" s="251"/>
    </row>
    <row r="126" spans="1:12" s="44" customFormat="1" ht="12.75" customHeight="1">
      <c r="A126" s="79">
        <v>1.95</v>
      </c>
      <c r="B126" s="75" t="s">
        <v>1323</v>
      </c>
      <c r="C126" s="92" t="s">
        <v>439</v>
      </c>
      <c r="D126" s="154" t="s">
        <v>802</v>
      </c>
      <c r="E126" s="77" t="s">
        <v>1431</v>
      </c>
      <c r="F126" s="56" t="s">
        <v>105</v>
      </c>
      <c r="G126" s="56" t="s">
        <v>105</v>
      </c>
      <c r="H126" s="56" t="s">
        <v>105</v>
      </c>
      <c r="I126" s="56"/>
      <c r="J126" s="200"/>
      <c r="K126" s="84"/>
      <c r="L126" s="251"/>
    </row>
    <row r="127" spans="1:11" ht="12.75" customHeight="1">
      <c r="A127" s="79">
        <v>1.95</v>
      </c>
      <c r="B127" s="75" t="s">
        <v>822</v>
      </c>
      <c r="C127" s="92" t="s">
        <v>439</v>
      </c>
      <c r="D127" s="154" t="s">
        <v>802</v>
      </c>
      <c r="E127" s="77" t="s">
        <v>624</v>
      </c>
      <c r="F127" s="56" t="s">
        <v>105</v>
      </c>
      <c r="G127" s="56" t="s">
        <v>105</v>
      </c>
      <c r="H127" s="56" t="s">
        <v>105</v>
      </c>
      <c r="I127" s="56" t="s">
        <v>105</v>
      </c>
      <c r="J127" s="200"/>
      <c r="K127" s="84" t="s">
        <v>105</v>
      </c>
    </row>
    <row r="128" spans="1:11" ht="12.75" customHeight="1">
      <c r="A128" s="79">
        <v>1.95</v>
      </c>
      <c r="B128" s="75" t="s">
        <v>910</v>
      </c>
      <c r="C128" s="92" t="s">
        <v>439</v>
      </c>
      <c r="D128" s="154" t="s">
        <v>802</v>
      </c>
      <c r="E128" s="77" t="s">
        <v>913</v>
      </c>
      <c r="F128" s="56" t="s">
        <v>105</v>
      </c>
      <c r="G128" s="56" t="s">
        <v>105</v>
      </c>
      <c r="H128" s="56" t="s">
        <v>105</v>
      </c>
      <c r="I128" s="56"/>
      <c r="J128" s="200"/>
      <c r="K128" s="84"/>
    </row>
    <row r="129" spans="1:11" ht="12.75" customHeight="1">
      <c r="A129" s="79">
        <v>1.95</v>
      </c>
      <c r="B129" s="75" t="s">
        <v>911</v>
      </c>
      <c r="C129" s="92" t="s">
        <v>439</v>
      </c>
      <c r="D129" s="154" t="s">
        <v>802</v>
      </c>
      <c r="E129" s="77" t="s">
        <v>914</v>
      </c>
      <c r="F129" s="56" t="s">
        <v>105</v>
      </c>
      <c r="G129" s="56" t="s">
        <v>105</v>
      </c>
      <c r="H129" s="56" t="s">
        <v>105</v>
      </c>
      <c r="I129" s="56"/>
      <c r="J129" s="200"/>
      <c r="K129" s="84"/>
    </row>
    <row r="130" spans="1:11" ht="12.75" customHeight="1">
      <c r="A130" s="79">
        <v>1.95</v>
      </c>
      <c r="B130" s="75" t="s">
        <v>912</v>
      </c>
      <c r="C130" s="92" t="s">
        <v>439</v>
      </c>
      <c r="D130" s="154" t="s">
        <v>802</v>
      </c>
      <c r="E130" s="77" t="s">
        <v>915</v>
      </c>
      <c r="F130" s="56" t="s">
        <v>105</v>
      </c>
      <c r="G130" s="56" t="s">
        <v>105</v>
      </c>
      <c r="H130" s="56" t="s">
        <v>105</v>
      </c>
      <c r="I130" s="56"/>
      <c r="J130" s="200"/>
      <c r="K130" s="84"/>
    </row>
    <row r="131" spans="1:11" ht="12.75" customHeight="1">
      <c r="A131" s="79">
        <v>1.95</v>
      </c>
      <c r="B131" s="75" t="s">
        <v>932</v>
      </c>
      <c r="C131" s="92" t="s">
        <v>439</v>
      </c>
      <c r="D131" s="154" t="s">
        <v>802</v>
      </c>
      <c r="E131" s="77" t="s">
        <v>1432</v>
      </c>
      <c r="F131" s="56" t="s">
        <v>105</v>
      </c>
      <c r="G131" s="56" t="s">
        <v>105</v>
      </c>
      <c r="H131" s="56" t="s">
        <v>105</v>
      </c>
      <c r="I131" s="56"/>
      <c r="J131" s="200"/>
      <c r="K131" s="84"/>
    </row>
    <row r="132" spans="1:11" ht="12.75" customHeight="1">
      <c r="A132" s="79">
        <v>1.95</v>
      </c>
      <c r="B132" s="75" t="s">
        <v>1116</v>
      </c>
      <c r="C132" s="92" t="s">
        <v>439</v>
      </c>
      <c r="D132" s="154" t="s">
        <v>802</v>
      </c>
      <c r="E132" s="77" t="s">
        <v>1117</v>
      </c>
      <c r="F132" s="56" t="s">
        <v>105</v>
      </c>
      <c r="G132" s="56" t="s">
        <v>105</v>
      </c>
      <c r="H132" s="56" t="s">
        <v>105</v>
      </c>
      <c r="I132" s="56"/>
      <c r="J132" s="200"/>
      <c r="K132" s="84"/>
    </row>
    <row r="133" spans="1:11" ht="12.75" customHeight="1">
      <c r="A133" s="79">
        <v>1.95</v>
      </c>
      <c r="B133" s="75" t="s">
        <v>1185</v>
      </c>
      <c r="C133" s="92" t="s">
        <v>439</v>
      </c>
      <c r="D133" s="154" t="s">
        <v>802</v>
      </c>
      <c r="E133" s="77" t="s">
        <v>1433</v>
      </c>
      <c r="F133" s="56" t="s">
        <v>105</v>
      </c>
      <c r="G133" s="56" t="s">
        <v>105</v>
      </c>
      <c r="H133" s="56" t="s">
        <v>105</v>
      </c>
      <c r="I133" s="56"/>
      <c r="J133" s="200"/>
      <c r="K133" s="84" t="s">
        <v>105</v>
      </c>
    </row>
    <row r="134" spans="1:11" ht="12.75" customHeight="1">
      <c r="A134" s="79">
        <v>1.95</v>
      </c>
      <c r="B134" s="75" t="s">
        <v>401</v>
      </c>
      <c r="C134" s="92" t="s">
        <v>439</v>
      </c>
      <c r="D134" s="154" t="s">
        <v>802</v>
      </c>
      <c r="E134" s="77" t="s">
        <v>1393</v>
      </c>
      <c r="F134" s="56" t="s">
        <v>105</v>
      </c>
      <c r="G134" s="56" t="s">
        <v>105</v>
      </c>
      <c r="H134" s="56" t="s">
        <v>105</v>
      </c>
      <c r="I134" s="56"/>
      <c r="J134" s="200"/>
      <c r="K134" s="84" t="s">
        <v>105</v>
      </c>
    </row>
    <row r="135" spans="1:11" ht="12.75" customHeight="1">
      <c r="A135" s="79">
        <v>1.196</v>
      </c>
      <c r="B135" s="75" t="s">
        <v>1746</v>
      </c>
      <c r="C135" s="92" t="s">
        <v>1747</v>
      </c>
      <c r="D135" s="154" t="s">
        <v>802</v>
      </c>
      <c r="E135" s="77" t="s">
        <v>1748</v>
      </c>
      <c r="F135" s="56" t="s">
        <v>105</v>
      </c>
      <c r="G135" s="56" t="s">
        <v>105</v>
      </c>
      <c r="H135" s="56" t="s">
        <v>105</v>
      </c>
      <c r="I135" s="56"/>
      <c r="J135" s="200"/>
      <c r="K135" s="84"/>
    </row>
    <row r="136" spans="1:11" ht="12.75" customHeight="1">
      <c r="A136" s="127">
        <v>1.18</v>
      </c>
      <c r="B136" s="75" t="s">
        <v>993</v>
      </c>
      <c r="C136" s="92" t="s">
        <v>991</v>
      </c>
      <c r="D136" s="154" t="s">
        <v>802</v>
      </c>
      <c r="E136" s="77" t="s">
        <v>992</v>
      </c>
      <c r="F136" s="56" t="s">
        <v>105</v>
      </c>
      <c r="G136" s="56" t="s">
        <v>105</v>
      </c>
      <c r="H136" s="56" t="s">
        <v>105</v>
      </c>
      <c r="I136" s="56"/>
      <c r="J136" s="200"/>
      <c r="K136" s="84"/>
    </row>
    <row r="137" spans="1:12" s="42" customFormat="1" ht="12.75" customHeight="1">
      <c r="A137" s="132">
        <v>1.42</v>
      </c>
      <c r="B137" s="133" t="s">
        <v>415</v>
      </c>
      <c r="C137" s="134" t="s">
        <v>435</v>
      </c>
      <c r="D137" s="154" t="s">
        <v>802</v>
      </c>
      <c r="E137" s="135" t="s">
        <v>648</v>
      </c>
      <c r="F137" s="56" t="s">
        <v>105</v>
      </c>
      <c r="G137" s="56" t="s">
        <v>105</v>
      </c>
      <c r="H137" s="56" t="s">
        <v>105</v>
      </c>
      <c r="I137" s="56"/>
      <c r="J137" s="200"/>
      <c r="K137" s="84" t="s">
        <v>105</v>
      </c>
      <c r="L137" s="253"/>
    </row>
    <row r="138" spans="1:12" s="42" customFormat="1" ht="12.75" customHeight="1">
      <c r="A138" s="132">
        <v>1.42</v>
      </c>
      <c r="B138" s="133" t="s">
        <v>418</v>
      </c>
      <c r="C138" s="134" t="s">
        <v>435</v>
      </c>
      <c r="D138" s="154" t="s">
        <v>802</v>
      </c>
      <c r="E138" s="135" t="s">
        <v>533</v>
      </c>
      <c r="F138" s="56" t="s">
        <v>105</v>
      </c>
      <c r="G138" s="56" t="s">
        <v>105</v>
      </c>
      <c r="H138" s="56" t="s">
        <v>105</v>
      </c>
      <c r="I138" s="56"/>
      <c r="J138" s="200"/>
      <c r="K138" s="84" t="s">
        <v>105</v>
      </c>
      <c r="L138" s="253"/>
    </row>
    <row r="139" spans="1:12" s="42" customFormat="1" ht="12.75" customHeight="1">
      <c r="A139" s="132">
        <v>1.42</v>
      </c>
      <c r="B139" s="133" t="s">
        <v>419</v>
      </c>
      <c r="C139" s="134" t="s">
        <v>435</v>
      </c>
      <c r="D139" s="154" t="s">
        <v>802</v>
      </c>
      <c r="E139" s="135" t="s">
        <v>649</v>
      </c>
      <c r="F139" s="56" t="s">
        <v>105</v>
      </c>
      <c r="G139" s="56" t="s">
        <v>105</v>
      </c>
      <c r="H139" s="56" t="s">
        <v>105</v>
      </c>
      <c r="I139" s="56"/>
      <c r="J139" s="200"/>
      <c r="K139" s="84" t="s">
        <v>105</v>
      </c>
      <c r="L139" s="253"/>
    </row>
    <row r="140" spans="1:12" s="184" customFormat="1" ht="12.75" customHeight="1">
      <c r="A140" s="132">
        <v>1.42</v>
      </c>
      <c r="B140" s="133" t="s">
        <v>421</v>
      </c>
      <c r="C140" s="134" t="s">
        <v>435</v>
      </c>
      <c r="D140" s="154" t="s">
        <v>802</v>
      </c>
      <c r="E140" s="135" t="s">
        <v>535</v>
      </c>
      <c r="F140" s="56" t="s">
        <v>105</v>
      </c>
      <c r="G140" s="56" t="s">
        <v>105</v>
      </c>
      <c r="H140" s="56" t="s">
        <v>105</v>
      </c>
      <c r="I140" s="56"/>
      <c r="J140" s="200"/>
      <c r="K140" s="84" t="s">
        <v>105</v>
      </c>
      <c r="L140" s="252"/>
    </row>
    <row r="141" spans="1:12" s="184" customFormat="1" ht="12.75" customHeight="1">
      <c r="A141" s="132">
        <v>1.42</v>
      </c>
      <c r="B141" s="133" t="s">
        <v>1080</v>
      </c>
      <c r="C141" s="134" t="s">
        <v>435</v>
      </c>
      <c r="D141" s="154" t="s">
        <v>802</v>
      </c>
      <c r="E141" s="135" t="s">
        <v>1434</v>
      </c>
      <c r="F141" s="56" t="s">
        <v>105</v>
      </c>
      <c r="G141" s="56" t="s">
        <v>105</v>
      </c>
      <c r="H141" s="56" t="s">
        <v>105</v>
      </c>
      <c r="I141" s="56"/>
      <c r="J141" s="200"/>
      <c r="K141" s="84" t="s">
        <v>105</v>
      </c>
      <c r="L141" s="252"/>
    </row>
    <row r="142" spans="1:12" s="184" customFormat="1" ht="12.75" customHeight="1">
      <c r="A142" s="132">
        <v>1.42</v>
      </c>
      <c r="B142" s="133" t="s">
        <v>422</v>
      </c>
      <c r="C142" s="134" t="s">
        <v>435</v>
      </c>
      <c r="D142" s="154" t="s">
        <v>802</v>
      </c>
      <c r="E142" s="135" t="s">
        <v>536</v>
      </c>
      <c r="F142" s="56" t="s">
        <v>105</v>
      </c>
      <c r="G142" s="56" t="s">
        <v>105</v>
      </c>
      <c r="H142" s="56" t="s">
        <v>105</v>
      </c>
      <c r="I142" s="56"/>
      <c r="J142" s="200"/>
      <c r="K142" s="84" t="s">
        <v>105</v>
      </c>
      <c r="L142" s="252"/>
    </row>
    <row r="143" spans="1:12" s="184" customFormat="1" ht="12.75" customHeight="1">
      <c r="A143" s="132">
        <v>1.42</v>
      </c>
      <c r="B143" s="133" t="s">
        <v>423</v>
      </c>
      <c r="C143" s="134" t="s">
        <v>435</v>
      </c>
      <c r="D143" s="154" t="s">
        <v>802</v>
      </c>
      <c r="E143" s="135" t="s">
        <v>537</v>
      </c>
      <c r="F143" s="56" t="s">
        <v>105</v>
      </c>
      <c r="G143" s="56" t="s">
        <v>105</v>
      </c>
      <c r="H143" s="56" t="s">
        <v>105</v>
      </c>
      <c r="I143" s="56"/>
      <c r="J143" s="200"/>
      <c r="K143" s="84" t="s">
        <v>105</v>
      </c>
      <c r="L143" s="252"/>
    </row>
    <row r="144" spans="1:12" s="184" customFormat="1" ht="12.75" customHeight="1">
      <c r="A144" s="132">
        <v>1.42</v>
      </c>
      <c r="B144" s="133" t="s">
        <v>424</v>
      </c>
      <c r="C144" s="134" t="s">
        <v>435</v>
      </c>
      <c r="D144" s="154" t="s">
        <v>802</v>
      </c>
      <c r="E144" s="135" t="s">
        <v>650</v>
      </c>
      <c r="F144" s="56" t="s">
        <v>105</v>
      </c>
      <c r="G144" s="56" t="s">
        <v>105</v>
      </c>
      <c r="H144" s="56" t="s">
        <v>105</v>
      </c>
      <c r="I144" s="56"/>
      <c r="J144" s="200"/>
      <c r="K144" s="84"/>
      <c r="L144" s="252"/>
    </row>
    <row r="145" spans="1:12" s="184" customFormat="1" ht="12.75" customHeight="1">
      <c r="A145" s="132">
        <v>1.42</v>
      </c>
      <c r="B145" s="133" t="s">
        <v>425</v>
      </c>
      <c r="C145" s="134" t="s">
        <v>435</v>
      </c>
      <c r="D145" s="154" t="s">
        <v>802</v>
      </c>
      <c r="E145" s="135" t="s">
        <v>651</v>
      </c>
      <c r="F145" s="56" t="s">
        <v>105</v>
      </c>
      <c r="G145" s="56" t="s">
        <v>105</v>
      </c>
      <c r="H145" s="56" t="s">
        <v>105</v>
      </c>
      <c r="I145" s="56"/>
      <c r="J145" s="200"/>
      <c r="K145" s="84" t="s">
        <v>105</v>
      </c>
      <c r="L145" s="252"/>
    </row>
    <row r="146" spans="1:12" s="184" customFormat="1" ht="12.75" customHeight="1">
      <c r="A146" s="132">
        <v>1.42</v>
      </c>
      <c r="B146" s="133" t="s">
        <v>1616</v>
      </c>
      <c r="C146" s="134" t="s">
        <v>435</v>
      </c>
      <c r="D146" s="154" t="s">
        <v>802</v>
      </c>
      <c r="E146" s="135" t="s">
        <v>1617</v>
      </c>
      <c r="F146" s="56" t="s">
        <v>105</v>
      </c>
      <c r="G146" s="56" t="s">
        <v>105</v>
      </c>
      <c r="H146" s="56" t="s">
        <v>105</v>
      </c>
      <c r="I146" s="56"/>
      <c r="J146" s="200"/>
      <c r="K146" s="84" t="s">
        <v>105</v>
      </c>
      <c r="L146" s="252"/>
    </row>
    <row r="147" spans="1:12" s="183" customFormat="1" ht="12.75" customHeight="1">
      <c r="A147" s="79">
        <v>1.39</v>
      </c>
      <c r="B147" s="75" t="s">
        <v>919</v>
      </c>
      <c r="C147" s="92" t="s">
        <v>918</v>
      </c>
      <c r="D147" s="154" t="s">
        <v>802</v>
      </c>
      <c r="E147" s="77" t="s">
        <v>920</v>
      </c>
      <c r="F147" s="56" t="s">
        <v>105</v>
      </c>
      <c r="G147" s="56" t="s">
        <v>105</v>
      </c>
      <c r="H147" s="56" t="s">
        <v>105</v>
      </c>
      <c r="I147" s="56"/>
      <c r="J147" s="200"/>
      <c r="K147" s="84"/>
      <c r="L147" s="254"/>
    </row>
    <row r="148" spans="1:11" ht="12.75" customHeight="1">
      <c r="A148" s="79">
        <v>1.39</v>
      </c>
      <c r="B148" s="75" t="s">
        <v>959</v>
      </c>
      <c r="C148" s="92" t="s">
        <v>918</v>
      </c>
      <c r="D148" s="154" t="s">
        <v>802</v>
      </c>
      <c r="E148" s="77" t="s">
        <v>958</v>
      </c>
      <c r="F148" s="56" t="s">
        <v>105</v>
      </c>
      <c r="G148" s="56" t="s">
        <v>105</v>
      </c>
      <c r="H148" s="56" t="s">
        <v>105</v>
      </c>
      <c r="I148" s="56"/>
      <c r="J148" s="200"/>
      <c r="K148" s="84" t="s">
        <v>105</v>
      </c>
    </row>
    <row r="149" spans="1:11" ht="12.75" customHeight="1">
      <c r="A149" s="79">
        <v>1.39</v>
      </c>
      <c r="B149" s="75" t="s">
        <v>1368</v>
      </c>
      <c r="C149" s="92" t="s">
        <v>918</v>
      </c>
      <c r="D149" s="154" t="s">
        <v>802</v>
      </c>
      <c r="E149" s="77" t="s">
        <v>1366</v>
      </c>
      <c r="F149" s="56" t="s">
        <v>105</v>
      </c>
      <c r="G149" s="56" t="s">
        <v>105</v>
      </c>
      <c r="H149" s="56" t="s">
        <v>105</v>
      </c>
      <c r="I149" s="56"/>
      <c r="J149" s="200"/>
      <c r="K149" s="84" t="s">
        <v>105</v>
      </c>
    </row>
    <row r="150" spans="1:11" ht="12.75" customHeight="1">
      <c r="A150" s="79">
        <v>1.39</v>
      </c>
      <c r="B150" s="75" t="s">
        <v>1369</v>
      </c>
      <c r="C150" s="92" t="s">
        <v>918</v>
      </c>
      <c r="D150" s="154" t="s">
        <v>802</v>
      </c>
      <c r="E150" s="77" t="s">
        <v>1367</v>
      </c>
      <c r="F150" s="56" t="s">
        <v>105</v>
      </c>
      <c r="G150" s="56" t="s">
        <v>105</v>
      </c>
      <c r="H150" s="56" t="s">
        <v>105</v>
      </c>
      <c r="I150" s="56"/>
      <c r="J150" s="200"/>
      <c r="K150" s="84" t="s">
        <v>105</v>
      </c>
    </row>
    <row r="151" spans="1:11" ht="12.75" customHeight="1" thickBot="1">
      <c r="A151" s="79">
        <v>1.194</v>
      </c>
      <c r="B151" s="75" t="s">
        <v>1051</v>
      </c>
      <c r="C151" s="92" t="s">
        <v>918</v>
      </c>
      <c r="D151" s="154" t="s">
        <v>802</v>
      </c>
      <c r="E151" s="77" t="s">
        <v>1050</v>
      </c>
      <c r="F151" s="56" t="s">
        <v>105</v>
      </c>
      <c r="G151" s="56" t="s">
        <v>105</v>
      </c>
      <c r="H151" s="56" t="s">
        <v>105</v>
      </c>
      <c r="I151" s="56"/>
      <c r="J151" s="200"/>
      <c r="K151" s="84"/>
    </row>
    <row r="152" spans="1:11" ht="21" thickBot="1">
      <c r="A152" s="271" t="s">
        <v>1622</v>
      </c>
      <c r="B152" s="272"/>
      <c r="C152" s="194">
        <f>SUBTOTAL(3,D153:D161)</f>
        <v>9</v>
      </c>
      <c r="D152" s="287" t="s">
        <v>803</v>
      </c>
      <c r="E152" s="288"/>
      <c r="F152" s="288"/>
      <c r="G152" s="288"/>
      <c r="H152" s="288"/>
      <c r="I152" s="288"/>
      <c r="J152" s="288"/>
      <c r="K152" s="289"/>
    </row>
    <row r="153" spans="1:11" ht="12.75" customHeight="1">
      <c r="A153" s="79">
        <v>1.195</v>
      </c>
      <c r="B153" s="75" t="s">
        <v>781</v>
      </c>
      <c r="C153" s="92" t="s">
        <v>1237</v>
      </c>
      <c r="D153" s="154" t="s">
        <v>804</v>
      </c>
      <c r="E153" s="77" t="s">
        <v>1435</v>
      </c>
      <c r="F153" s="56" t="s">
        <v>105</v>
      </c>
      <c r="G153" s="56" t="s">
        <v>105</v>
      </c>
      <c r="H153" s="56" t="s">
        <v>105</v>
      </c>
      <c r="I153" s="56"/>
      <c r="J153" s="200"/>
      <c r="K153" s="84"/>
    </row>
    <row r="154" spans="1:11" ht="12.75" customHeight="1">
      <c r="A154" s="79">
        <v>1.195</v>
      </c>
      <c r="B154" s="75" t="s">
        <v>1826</v>
      </c>
      <c r="C154" s="92" t="s">
        <v>1237</v>
      </c>
      <c r="D154" s="154" t="s">
        <v>804</v>
      </c>
      <c r="E154" s="77" t="s">
        <v>1827</v>
      </c>
      <c r="F154" s="56" t="s">
        <v>105</v>
      </c>
      <c r="G154" s="56" t="s">
        <v>105</v>
      </c>
      <c r="H154" s="56" t="s">
        <v>105</v>
      </c>
      <c r="I154" s="56"/>
      <c r="J154" s="200"/>
      <c r="K154" s="84"/>
    </row>
    <row r="155" spans="1:11" ht="12.75" customHeight="1">
      <c r="A155" s="127">
        <v>1.18</v>
      </c>
      <c r="B155" s="75" t="s">
        <v>994</v>
      </c>
      <c r="C155" s="92" t="s">
        <v>991</v>
      </c>
      <c r="D155" s="154" t="s">
        <v>804</v>
      </c>
      <c r="E155" s="77" t="s">
        <v>995</v>
      </c>
      <c r="F155" s="56" t="s">
        <v>105</v>
      </c>
      <c r="G155" s="56" t="s">
        <v>105</v>
      </c>
      <c r="H155" s="56" t="s">
        <v>105</v>
      </c>
      <c r="I155" s="56"/>
      <c r="J155" s="200"/>
      <c r="K155" s="84"/>
    </row>
    <row r="156" spans="1:11" ht="12.75" customHeight="1">
      <c r="A156" s="79">
        <v>1.95</v>
      </c>
      <c r="B156" s="75" t="s">
        <v>384</v>
      </c>
      <c r="C156" s="92" t="s">
        <v>439</v>
      </c>
      <c r="D156" s="154" t="s">
        <v>804</v>
      </c>
      <c r="E156" s="77" t="s">
        <v>504</v>
      </c>
      <c r="F156" s="56" t="s">
        <v>105</v>
      </c>
      <c r="G156" s="56" t="s">
        <v>105</v>
      </c>
      <c r="H156" s="56" t="s">
        <v>105</v>
      </c>
      <c r="I156" s="56"/>
      <c r="J156" s="200"/>
      <c r="K156" s="84" t="s">
        <v>105</v>
      </c>
    </row>
    <row r="157" spans="1:12" s="42" customFormat="1" ht="12.75" customHeight="1">
      <c r="A157" s="132">
        <v>1.42</v>
      </c>
      <c r="B157" s="133" t="s">
        <v>416</v>
      </c>
      <c r="C157" s="134" t="s">
        <v>435</v>
      </c>
      <c r="D157" s="154" t="s">
        <v>804</v>
      </c>
      <c r="E157" s="135" t="s">
        <v>531</v>
      </c>
      <c r="F157" s="56" t="s">
        <v>105</v>
      </c>
      <c r="G157" s="56" t="s">
        <v>105</v>
      </c>
      <c r="H157" s="56" t="s">
        <v>105</v>
      </c>
      <c r="I157" s="56"/>
      <c r="J157" s="200"/>
      <c r="K157" s="84" t="s">
        <v>105</v>
      </c>
      <c r="L157" s="253"/>
    </row>
    <row r="158" spans="1:12" s="42" customFormat="1" ht="12.75" customHeight="1">
      <c r="A158" s="132">
        <v>1.42</v>
      </c>
      <c r="B158" s="133" t="s">
        <v>417</v>
      </c>
      <c r="C158" s="134" t="s">
        <v>435</v>
      </c>
      <c r="D158" s="154" t="s">
        <v>804</v>
      </c>
      <c r="E158" s="135" t="s">
        <v>532</v>
      </c>
      <c r="F158" s="56" t="s">
        <v>105</v>
      </c>
      <c r="G158" s="56" t="s">
        <v>105</v>
      </c>
      <c r="H158" s="56" t="s">
        <v>105</v>
      </c>
      <c r="I158" s="56"/>
      <c r="J158" s="200"/>
      <c r="K158" s="84" t="s">
        <v>105</v>
      </c>
      <c r="L158" s="253"/>
    </row>
    <row r="159" spans="1:12" s="42" customFormat="1" ht="12.75" customHeight="1">
      <c r="A159" s="132">
        <v>1.42</v>
      </c>
      <c r="B159" s="133" t="s">
        <v>1195</v>
      </c>
      <c r="C159" s="134" t="s">
        <v>435</v>
      </c>
      <c r="D159" s="154" t="s">
        <v>804</v>
      </c>
      <c r="E159" s="135" t="s">
        <v>1194</v>
      </c>
      <c r="F159" s="56" t="s">
        <v>105</v>
      </c>
      <c r="G159" s="56" t="s">
        <v>105</v>
      </c>
      <c r="H159" s="56" t="s">
        <v>105</v>
      </c>
      <c r="I159" s="56"/>
      <c r="J159" s="200"/>
      <c r="K159" s="84" t="s">
        <v>105</v>
      </c>
      <c r="L159" s="253"/>
    </row>
    <row r="160" spans="1:12" s="183" customFormat="1" ht="12.75" customHeight="1">
      <c r="A160" s="79">
        <v>1.122</v>
      </c>
      <c r="B160" s="75" t="s">
        <v>426</v>
      </c>
      <c r="C160" s="92" t="s">
        <v>476</v>
      </c>
      <c r="D160" s="154" t="s">
        <v>804</v>
      </c>
      <c r="E160" s="77" t="s">
        <v>538</v>
      </c>
      <c r="F160" s="56" t="s">
        <v>105</v>
      </c>
      <c r="G160" s="56" t="s">
        <v>105</v>
      </c>
      <c r="H160" s="56" t="s">
        <v>105</v>
      </c>
      <c r="I160" s="56"/>
      <c r="J160" s="200"/>
      <c r="K160" s="84"/>
      <c r="L160" s="254"/>
    </row>
    <row r="161" spans="1:11" ht="12.75" customHeight="1" thickBot="1">
      <c r="A161" s="79">
        <v>1.122</v>
      </c>
      <c r="B161" s="75" t="s">
        <v>427</v>
      </c>
      <c r="C161" s="92" t="s">
        <v>476</v>
      </c>
      <c r="D161" s="154" t="s">
        <v>804</v>
      </c>
      <c r="E161" s="77" t="s">
        <v>539</v>
      </c>
      <c r="F161" s="56" t="s">
        <v>105</v>
      </c>
      <c r="G161" s="56" t="s">
        <v>105</v>
      </c>
      <c r="H161" s="56" t="s">
        <v>105</v>
      </c>
      <c r="I161" s="56"/>
      <c r="J161" s="200"/>
      <c r="K161" s="84"/>
    </row>
    <row r="162" spans="1:11" ht="21" thickBot="1">
      <c r="A162" s="271" t="s">
        <v>1622</v>
      </c>
      <c r="B162" s="272"/>
      <c r="C162" s="194">
        <f>SUBTOTAL(3,D163:D190)</f>
        <v>28</v>
      </c>
      <c r="D162" s="287" t="s">
        <v>806</v>
      </c>
      <c r="E162" s="288"/>
      <c r="F162" s="288"/>
      <c r="G162" s="288"/>
      <c r="H162" s="288"/>
      <c r="I162" s="288"/>
      <c r="J162" s="288"/>
      <c r="K162" s="289"/>
    </row>
    <row r="163" spans="1:11" ht="12.75" customHeight="1">
      <c r="A163" s="79">
        <v>1.39</v>
      </c>
      <c r="B163" s="75" t="s">
        <v>1049</v>
      </c>
      <c r="C163" s="92" t="s">
        <v>918</v>
      </c>
      <c r="D163" s="154" t="s">
        <v>805</v>
      </c>
      <c r="E163" s="77" t="s">
        <v>1436</v>
      </c>
      <c r="F163" s="56" t="s">
        <v>105</v>
      </c>
      <c r="G163" s="56" t="s">
        <v>105</v>
      </c>
      <c r="H163" s="56" t="s">
        <v>105</v>
      </c>
      <c r="I163" s="56"/>
      <c r="J163" s="200"/>
      <c r="K163" s="84" t="s">
        <v>105</v>
      </c>
    </row>
    <row r="164" spans="1:11" ht="12.75" customHeight="1">
      <c r="A164" s="79">
        <v>1.122</v>
      </c>
      <c r="B164" s="75" t="s">
        <v>1391</v>
      </c>
      <c r="C164" s="92" t="s">
        <v>476</v>
      </c>
      <c r="D164" s="154" t="s">
        <v>805</v>
      </c>
      <c r="E164" s="77" t="s">
        <v>1392</v>
      </c>
      <c r="F164" s="56" t="s">
        <v>105</v>
      </c>
      <c r="G164" s="56" t="s">
        <v>105</v>
      </c>
      <c r="H164" s="56" t="s">
        <v>105</v>
      </c>
      <c r="I164" s="56"/>
      <c r="J164" s="200"/>
      <c r="K164" s="84"/>
    </row>
    <row r="165" spans="1:11" ht="12.75" customHeight="1">
      <c r="A165" s="79">
        <v>1.195</v>
      </c>
      <c r="B165" s="75" t="s">
        <v>611</v>
      </c>
      <c r="C165" s="92" t="s">
        <v>1237</v>
      </c>
      <c r="D165" s="154" t="s">
        <v>805</v>
      </c>
      <c r="E165" s="77" t="s">
        <v>609</v>
      </c>
      <c r="F165" s="56" t="s">
        <v>105</v>
      </c>
      <c r="G165" s="56" t="s">
        <v>105</v>
      </c>
      <c r="H165" s="56" t="s">
        <v>105</v>
      </c>
      <c r="I165" s="56"/>
      <c r="J165" s="200"/>
      <c r="K165" s="84"/>
    </row>
    <row r="166" spans="1:11" ht="12.75" customHeight="1">
      <c r="A166" s="79">
        <v>1.195</v>
      </c>
      <c r="B166" s="75" t="s">
        <v>612</v>
      </c>
      <c r="C166" s="92" t="s">
        <v>1237</v>
      </c>
      <c r="D166" s="154" t="s">
        <v>805</v>
      </c>
      <c r="E166" s="77" t="s">
        <v>610</v>
      </c>
      <c r="F166" s="56" t="s">
        <v>105</v>
      </c>
      <c r="G166" s="56" t="s">
        <v>105</v>
      </c>
      <c r="H166" s="56" t="s">
        <v>105</v>
      </c>
      <c r="I166" s="56"/>
      <c r="J166" s="200"/>
      <c r="K166" s="84"/>
    </row>
    <row r="167" spans="1:11" ht="12.75" customHeight="1">
      <c r="A167" s="79">
        <v>1.195</v>
      </c>
      <c r="B167" s="75" t="s">
        <v>1370</v>
      </c>
      <c r="C167" s="92" t="s">
        <v>1237</v>
      </c>
      <c r="D167" s="154" t="s">
        <v>805</v>
      </c>
      <c r="E167" s="77" t="s">
        <v>1437</v>
      </c>
      <c r="F167" s="56" t="s">
        <v>105</v>
      </c>
      <c r="G167" s="56" t="s">
        <v>105</v>
      </c>
      <c r="H167" s="56" t="s">
        <v>105</v>
      </c>
      <c r="I167" s="56"/>
      <c r="J167" s="200"/>
      <c r="K167" s="84"/>
    </row>
    <row r="168" spans="1:11" ht="12.75" customHeight="1">
      <c r="A168" s="79">
        <v>1.195</v>
      </c>
      <c r="B168" s="75" t="s">
        <v>1371</v>
      </c>
      <c r="C168" s="92" t="s">
        <v>1237</v>
      </c>
      <c r="D168" s="154" t="s">
        <v>805</v>
      </c>
      <c r="E168" s="77" t="s">
        <v>1438</v>
      </c>
      <c r="F168" s="56" t="s">
        <v>105</v>
      </c>
      <c r="G168" s="56" t="s">
        <v>105</v>
      </c>
      <c r="H168" s="56" t="s">
        <v>105</v>
      </c>
      <c r="I168" s="56"/>
      <c r="J168" s="200"/>
      <c r="K168" s="84"/>
    </row>
    <row r="169" spans="1:11" ht="12.75" customHeight="1">
      <c r="A169" s="79">
        <v>1.195</v>
      </c>
      <c r="B169" s="75" t="s">
        <v>1372</v>
      </c>
      <c r="C169" s="92" t="s">
        <v>1237</v>
      </c>
      <c r="D169" s="154" t="s">
        <v>805</v>
      </c>
      <c r="E169" s="77" t="s">
        <v>1439</v>
      </c>
      <c r="F169" s="56" t="s">
        <v>105</v>
      </c>
      <c r="G169" s="56" t="s">
        <v>105</v>
      </c>
      <c r="H169" s="56" t="s">
        <v>105</v>
      </c>
      <c r="I169" s="56"/>
      <c r="J169" s="200"/>
      <c r="K169" s="84"/>
    </row>
    <row r="170" spans="1:11" ht="12.75" customHeight="1">
      <c r="A170" s="79">
        <v>1.195</v>
      </c>
      <c r="B170" s="75" t="s">
        <v>1373</v>
      </c>
      <c r="C170" s="92" t="s">
        <v>1237</v>
      </c>
      <c r="D170" s="154" t="s">
        <v>805</v>
      </c>
      <c r="E170" s="77" t="s">
        <v>1440</v>
      </c>
      <c r="F170" s="56" t="s">
        <v>105</v>
      </c>
      <c r="G170" s="56" t="s">
        <v>105</v>
      </c>
      <c r="H170" s="56" t="s">
        <v>105</v>
      </c>
      <c r="I170" s="56"/>
      <c r="J170" s="200"/>
      <c r="K170" s="84"/>
    </row>
    <row r="171" spans="1:11" ht="12.75" customHeight="1">
      <c r="A171" s="79">
        <v>1.195</v>
      </c>
      <c r="B171" s="75" t="s">
        <v>1409</v>
      </c>
      <c r="C171" s="92" t="s">
        <v>1237</v>
      </c>
      <c r="D171" s="154" t="s">
        <v>805</v>
      </c>
      <c r="E171" s="77" t="s">
        <v>1441</v>
      </c>
      <c r="F171" s="56" t="s">
        <v>105</v>
      </c>
      <c r="G171" s="56" t="s">
        <v>105</v>
      </c>
      <c r="H171" s="56" t="s">
        <v>105</v>
      </c>
      <c r="I171" s="56"/>
      <c r="J171" s="200"/>
      <c r="K171" s="84"/>
    </row>
    <row r="172" spans="1:11" ht="12.75" customHeight="1">
      <c r="A172" s="79">
        <v>1.195</v>
      </c>
      <c r="B172" s="75" t="s">
        <v>1624</v>
      </c>
      <c r="C172" s="92" t="s">
        <v>1237</v>
      </c>
      <c r="D172" s="154" t="s">
        <v>805</v>
      </c>
      <c r="E172" s="77" t="s">
        <v>1623</v>
      </c>
      <c r="F172" s="56" t="s">
        <v>105</v>
      </c>
      <c r="G172" s="56" t="s">
        <v>105</v>
      </c>
      <c r="H172" s="56" t="s">
        <v>105</v>
      </c>
      <c r="I172" s="56"/>
      <c r="J172" s="200"/>
      <c r="K172" s="84"/>
    </row>
    <row r="173" spans="1:11" ht="12.75" customHeight="1">
      <c r="A173" s="79">
        <v>1.195</v>
      </c>
      <c r="B173" s="75" t="s">
        <v>1802</v>
      </c>
      <c r="C173" s="92" t="s">
        <v>1237</v>
      </c>
      <c r="D173" s="154" t="s">
        <v>805</v>
      </c>
      <c r="E173" s="77" t="s">
        <v>1796</v>
      </c>
      <c r="F173" s="56" t="s">
        <v>105</v>
      </c>
      <c r="G173" s="56" t="s">
        <v>105</v>
      </c>
      <c r="H173" s="56" t="s">
        <v>105</v>
      </c>
      <c r="I173" s="56"/>
      <c r="J173" s="200"/>
      <c r="K173" s="84"/>
    </row>
    <row r="174" spans="1:11" ht="12.75" customHeight="1">
      <c r="A174" s="79">
        <v>1.195</v>
      </c>
      <c r="B174" s="75" t="s">
        <v>1803</v>
      </c>
      <c r="C174" s="92" t="s">
        <v>1237</v>
      </c>
      <c r="D174" s="154" t="s">
        <v>805</v>
      </c>
      <c r="E174" s="77" t="s">
        <v>1797</v>
      </c>
      <c r="F174" s="56" t="s">
        <v>105</v>
      </c>
      <c r="G174" s="56" t="s">
        <v>105</v>
      </c>
      <c r="H174" s="56" t="s">
        <v>105</v>
      </c>
      <c r="I174" s="56"/>
      <c r="J174" s="200"/>
      <c r="K174" s="84"/>
    </row>
    <row r="175" spans="1:11" ht="12.75" customHeight="1">
      <c r="A175" s="79">
        <v>1.195</v>
      </c>
      <c r="B175" s="75" t="s">
        <v>1804</v>
      </c>
      <c r="C175" s="92" t="s">
        <v>1237</v>
      </c>
      <c r="D175" s="154" t="s">
        <v>805</v>
      </c>
      <c r="E175" s="77" t="s">
        <v>1798</v>
      </c>
      <c r="F175" s="56" t="s">
        <v>105</v>
      </c>
      <c r="G175" s="56" t="s">
        <v>105</v>
      </c>
      <c r="H175" s="56" t="s">
        <v>105</v>
      </c>
      <c r="I175" s="56"/>
      <c r="J175" s="200"/>
      <c r="K175" s="84"/>
    </row>
    <row r="176" spans="1:11" ht="12.75" customHeight="1">
      <c r="A176" s="79">
        <v>1.195</v>
      </c>
      <c r="B176" s="75" t="s">
        <v>1805</v>
      </c>
      <c r="C176" s="92" t="s">
        <v>1237</v>
      </c>
      <c r="D176" s="154" t="s">
        <v>805</v>
      </c>
      <c r="E176" s="77" t="s">
        <v>1799</v>
      </c>
      <c r="F176" s="56" t="s">
        <v>105</v>
      </c>
      <c r="G176" s="56" t="s">
        <v>105</v>
      </c>
      <c r="H176" s="56" t="s">
        <v>105</v>
      </c>
      <c r="I176" s="56"/>
      <c r="J176" s="200"/>
      <c r="K176" s="84"/>
    </row>
    <row r="177" spans="1:11" ht="12.75" customHeight="1">
      <c r="A177" s="79">
        <v>1.195</v>
      </c>
      <c r="B177" s="75" t="s">
        <v>1806</v>
      </c>
      <c r="C177" s="92" t="s">
        <v>1237</v>
      </c>
      <c r="D177" s="154" t="s">
        <v>805</v>
      </c>
      <c r="E177" s="77" t="s">
        <v>1800</v>
      </c>
      <c r="F177" s="56" t="s">
        <v>105</v>
      </c>
      <c r="G177" s="56" t="s">
        <v>105</v>
      </c>
      <c r="H177" s="56" t="s">
        <v>105</v>
      </c>
      <c r="I177" s="56"/>
      <c r="J177" s="200"/>
      <c r="K177" s="84"/>
    </row>
    <row r="178" spans="1:11" ht="12.75" customHeight="1">
      <c r="A178" s="79">
        <v>1.195</v>
      </c>
      <c r="B178" s="75" t="s">
        <v>1807</v>
      </c>
      <c r="C178" s="92" t="s">
        <v>1237</v>
      </c>
      <c r="D178" s="154" t="s">
        <v>805</v>
      </c>
      <c r="E178" s="77" t="s">
        <v>1801</v>
      </c>
      <c r="F178" s="56" t="s">
        <v>105</v>
      </c>
      <c r="G178" s="56" t="s">
        <v>105</v>
      </c>
      <c r="H178" s="56" t="s">
        <v>105</v>
      </c>
      <c r="I178" s="56"/>
      <c r="J178" s="200"/>
      <c r="K178" s="84"/>
    </row>
    <row r="179" spans="1:11" ht="12.75" customHeight="1">
      <c r="A179" s="79">
        <v>1.195</v>
      </c>
      <c r="B179" s="75" t="s">
        <v>1808</v>
      </c>
      <c r="C179" s="92" t="s">
        <v>1237</v>
      </c>
      <c r="D179" s="154" t="s">
        <v>805</v>
      </c>
      <c r="E179" s="77" t="s">
        <v>1810</v>
      </c>
      <c r="F179" s="56" t="s">
        <v>105</v>
      </c>
      <c r="G179" s="56" t="s">
        <v>105</v>
      </c>
      <c r="H179" s="56" t="s">
        <v>105</v>
      </c>
      <c r="I179" s="56"/>
      <c r="J179" s="200"/>
      <c r="K179" s="84"/>
    </row>
    <row r="180" spans="1:11" ht="12.75" customHeight="1">
      <c r="A180" s="79">
        <v>1.195</v>
      </c>
      <c r="B180" s="75" t="s">
        <v>1809</v>
      </c>
      <c r="C180" s="92" t="s">
        <v>1237</v>
      </c>
      <c r="D180" s="154" t="s">
        <v>805</v>
      </c>
      <c r="E180" s="77" t="s">
        <v>1811</v>
      </c>
      <c r="F180" s="56" t="s">
        <v>105</v>
      </c>
      <c r="G180" s="56" t="s">
        <v>105</v>
      </c>
      <c r="H180" s="56" t="s">
        <v>105</v>
      </c>
      <c r="I180" s="56"/>
      <c r="J180" s="200"/>
      <c r="K180" s="84"/>
    </row>
    <row r="181" spans="1:11" ht="12.75" customHeight="1">
      <c r="A181" s="79">
        <v>1.195</v>
      </c>
      <c r="B181" s="75" t="s">
        <v>1832</v>
      </c>
      <c r="C181" s="92" t="s">
        <v>1237</v>
      </c>
      <c r="D181" s="154" t="s">
        <v>805</v>
      </c>
      <c r="E181" s="77" t="s">
        <v>1830</v>
      </c>
      <c r="F181" s="56" t="s">
        <v>105</v>
      </c>
      <c r="G181" s="56" t="s">
        <v>105</v>
      </c>
      <c r="H181" s="56" t="s">
        <v>105</v>
      </c>
      <c r="I181" s="56"/>
      <c r="J181" s="200"/>
      <c r="K181" s="84"/>
    </row>
    <row r="182" spans="1:11" ht="12.75" customHeight="1">
      <c r="A182" s="79">
        <v>1.195</v>
      </c>
      <c r="B182" s="75" t="s">
        <v>1833</v>
      </c>
      <c r="C182" s="92" t="s">
        <v>1237</v>
      </c>
      <c r="D182" s="154" t="s">
        <v>805</v>
      </c>
      <c r="E182" s="77" t="s">
        <v>1831</v>
      </c>
      <c r="F182" s="56" t="s">
        <v>105</v>
      </c>
      <c r="G182" s="56" t="s">
        <v>105</v>
      </c>
      <c r="H182" s="56" t="s">
        <v>105</v>
      </c>
      <c r="I182" s="56"/>
      <c r="J182" s="200"/>
      <c r="K182" s="84"/>
    </row>
    <row r="183" spans="1:11" ht="12.75" customHeight="1">
      <c r="A183" s="79">
        <v>1.178</v>
      </c>
      <c r="B183" s="75" t="s">
        <v>613</v>
      </c>
      <c r="C183" s="92" t="s">
        <v>949</v>
      </c>
      <c r="D183" s="154" t="s">
        <v>805</v>
      </c>
      <c r="E183" s="77" t="s">
        <v>614</v>
      </c>
      <c r="F183" s="56" t="s">
        <v>105</v>
      </c>
      <c r="G183" s="56" t="s">
        <v>105</v>
      </c>
      <c r="H183" s="56" t="s">
        <v>105</v>
      </c>
      <c r="I183" s="56"/>
      <c r="J183" s="200"/>
      <c r="K183" s="84"/>
    </row>
    <row r="184" spans="1:11" ht="12.75" customHeight="1">
      <c r="A184" s="79">
        <v>1.178</v>
      </c>
      <c r="B184" s="75" t="s">
        <v>935</v>
      </c>
      <c r="C184" s="92" t="s">
        <v>949</v>
      </c>
      <c r="D184" s="154" t="s">
        <v>805</v>
      </c>
      <c r="E184" s="77" t="s">
        <v>936</v>
      </c>
      <c r="F184" s="56" t="s">
        <v>105</v>
      </c>
      <c r="G184" s="56" t="s">
        <v>105</v>
      </c>
      <c r="H184" s="56" t="s">
        <v>105</v>
      </c>
      <c r="I184" s="56"/>
      <c r="J184" s="200"/>
      <c r="K184" s="84"/>
    </row>
    <row r="185" spans="1:11" ht="12.75" customHeight="1">
      <c r="A185" s="155">
        <v>1.132</v>
      </c>
      <c r="B185" s="133" t="s">
        <v>1660</v>
      </c>
      <c r="C185" s="134" t="s">
        <v>1659</v>
      </c>
      <c r="D185" s="154" t="s">
        <v>805</v>
      </c>
      <c r="E185" s="135" t="s">
        <v>1663</v>
      </c>
      <c r="F185" s="55" t="s">
        <v>105</v>
      </c>
      <c r="G185" s="55" t="s">
        <v>105</v>
      </c>
      <c r="H185" s="55" t="s">
        <v>105</v>
      </c>
      <c r="I185" s="56"/>
      <c r="J185" s="200"/>
      <c r="K185" s="84"/>
    </row>
    <row r="186" spans="1:11" ht="12.75" customHeight="1">
      <c r="A186" s="155">
        <v>1.132</v>
      </c>
      <c r="B186" s="133" t="s">
        <v>1661</v>
      </c>
      <c r="C186" s="134" t="s">
        <v>1659</v>
      </c>
      <c r="D186" s="154" t="s">
        <v>805</v>
      </c>
      <c r="E186" s="135" t="s">
        <v>1664</v>
      </c>
      <c r="F186" s="55" t="s">
        <v>105</v>
      </c>
      <c r="G186" s="55" t="s">
        <v>105</v>
      </c>
      <c r="H186" s="55" t="s">
        <v>105</v>
      </c>
      <c r="I186" s="56"/>
      <c r="J186" s="200"/>
      <c r="K186" s="84"/>
    </row>
    <row r="187" spans="1:11" ht="12.75" customHeight="1">
      <c r="A187" s="155">
        <v>1.132</v>
      </c>
      <c r="B187" s="133" t="s">
        <v>1662</v>
      </c>
      <c r="C187" s="134" t="s">
        <v>1659</v>
      </c>
      <c r="D187" s="154" t="s">
        <v>805</v>
      </c>
      <c r="E187" s="135" t="s">
        <v>1665</v>
      </c>
      <c r="F187" s="55" t="s">
        <v>105</v>
      </c>
      <c r="G187" s="55" t="s">
        <v>105</v>
      </c>
      <c r="H187" s="55" t="s">
        <v>105</v>
      </c>
      <c r="I187" s="56"/>
      <c r="J187" s="200"/>
      <c r="K187" s="84"/>
    </row>
    <row r="188" spans="1:12" s="88" customFormat="1" ht="12.75" customHeight="1">
      <c r="A188" s="79">
        <v>1.95</v>
      </c>
      <c r="B188" s="75" t="s">
        <v>386</v>
      </c>
      <c r="C188" s="92" t="s">
        <v>439</v>
      </c>
      <c r="D188" s="154" t="s">
        <v>805</v>
      </c>
      <c r="E188" s="77" t="s">
        <v>506</v>
      </c>
      <c r="F188" s="56" t="s">
        <v>105</v>
      </c>
      <c r="G188" s="56" t="s">
        <v>105</v>
      </c>
      <c r="H188" s="56" t="s">
        <v>105</v>
      </c>
      <c r="I188" s="56"/>
      <c r="J188" s="200"/>
      <c r="K188" s="84" t="s">
        <v>105</v>
      </c>
      <c r="L188" s="256"/>
    </row>
    <row r="189" spans="1:11" ht="12.75" customHeight="1">
      <c r="A189" s="79">
        <v>1.95</v>
      </c>
      <c r="B189" s="75" t="s">
        <v>388</v>
      </c>
      <c r="C189" s="92" t="s">
        <v>439</v>
      </c>
      <c r="D189" s="154" t="s">
        <v>805</v>
      </c>
      <c r="E189" s="77" t="s">
        <v>508</v>
      </c>
      <c r="F189" s="56" t="s">
        <v>105</v>
      </c>
      <c r="G189" s="56" t="s">
        <v>105</v>
      </c>
      <c r="H189" s="56" t="s">
        <v>105</v>
      </c>
      <c r="I189" s="56"/>
      <c r="J189" s="200"/>
      <c r="K189" s="84" t="s">
        <v>105</v>
      </c>
    </row>
    <row r="190" spans="1:11" ht="12.75" customHeight="1" thickBot="1">
      <c r="A190" s="79">
        <v>1.95</v>
      </c>
      <c r="B190" s="75" t="s">
        <v>385</v>
      </c>
      <c r="C190" s="92" t="s">
        <v>439</v>
      </c>
      <c r="D190" s="154" t="s">
        <v>805</v>
      </c>
      <c r="E190" s="77" t="s">
        <v>505</v>
      </c>
      <c r="F190" s="56" t="s">
        <v>105</v>
      </c>
      <c r="G190" s="56" t="s">
        <v>105</v>
      </c>
      <c r="H190" s="56" t="s">
        <v>105</v>
      </c>
      <c r="I190" s="56"/>
      <c r="J190" s="200"/>
      <c r="K190" s="84" t="s">
        <v>105</v>
      </c>
    </row>
    <row r="191" spans="1:11" ht="21" thickBot="1">
      <c r="A191" s="271" t="s">
        <v>1622</v>
      </c>
      <c r="B191" s="272"/>
      <c r="C191" s="194">
        <f>SUBTOTAL(3,D192:D221)</f>
        <v>30</v>
      </c>
      <c r="D191" s="287" t="s">
        <v>807</v>
      </c>
      <c r="E191" s="288"/>
      <c r="F191" s="288"/>
      <c r="G191" s="288"/>
      <c r="H191" s="288"/>
      <c r="I191" s="288"/>
      <c r="J191" s="288"/>
      <c r="K191" s="289"/>
    </row>
    <row r="192" spans="1:12" s="130" customFormat="1" ht="12.75" customHeight="1">
      <c r="A192" s="79">
        <v>1.49</v>
      </c>
      <c r="B192" s="75" t="s">
        <v>363</v>
      </c>
      <c r="C192" s="92" t="s">
        <v>437</v>
      </c>
      <c r="D192" s="154" t="s">
        <v>808</v>
      </c>
      <c r="E192" s="77" t="s">
        <v>642</v>
      </c>
      <c r="F192" s="56" t="s">
        <v>105</v>
      </c>
      <c r="G192" s="56" t="s">
        <v>105</v>
      </c>
      <c r="H192" s="56" t="s">
        <v>105</v>
      </c>
      <c r="I192" s="56"/>
      <c r="J192" s="200"/>
      <c r="K192" s="84"/>
      <c r="L192" s="255"/>
    </row>
    <row r="193" spans="1:11" ht="12.75" customHeight="1">
      <c r="A193" s="79">
        <v>1.45</v>
      </c>
      <c r="B193" s="75" t="s">
        <v>362</v>
      </c>
      <c r="C193" s="92" t="s">
        <v>436</v>
      </c>
      <c r="D193" s="154" t="s">
        <v>808</v>
      </c>
      <c r="E193" s="77" t="s">
        <v>484</v>
      </c>
      <c r="F193" s="56" t="s">
        <v>105</v>
      </c>
      <c r="G193" s="56" t="s">
        <v>105</v>
      </c>
      <c r="H193" s="56" t="s">
        <v>105</v>
      </c>
      <c r="I193" s="56"/>
      <c r="J193" s="200"/>
      <c r="K193" s="84"/>
    </row>
    <row r="194" spans="1:11" ht="12.75" customHeight="1">
      <c r="A194" s="79">
        <v>1.51</v>
      </c>
      <c r="B194" s="75" t="s">
        <v>1085</v>
      </c>
      <c r="C194" s="92" t="s">
        <v>998</v>
      </c>
      <c r="D194" s="154" t="s">
        <v>808</v>
      </c>
      <c r="E194" s="77" t="s">
        <v>1086</v>
      </c>
      <c r="F194" s="56" t="s">
        <v>105</v>
      </c>
      <c r="G194" s="56" t="s">
        <v>105</v>
      </c>
      <c r="H194" s="56" t="s">
        <v>105</v>
      </c>
      <c r="I194" s="56"/>
      <c r="J194" s="200"/>
      <c r="K194" s="84"/>
    </row>
    <row r="195" spans="1:12" s="88" customFormat="1" ht="12.75" customHeight="1">
      <c r="A195" s="79">
        <v>1.195</v>
      </c>
      <c r="B195" s="75" t="s">
        <v>706</v>
      </c>
      <c r="C195" s="92" t="s">
        <v>1237</v>
      </c>
      <c r="D195" s="154" t="s">
        <v>808</v>
      </c>
      <c r="E195" s="77" t="s">
        <v>705</v>
      </c>
      <c r="F195" s="56" t="s">
        <v>105</v>
      </c>
      <c r="G195" s="56" t="s">
        <v>105</v>
      </c>
      <c r="H195" s="56" t="s">
        <v>105</v>
      </c>
      <c r="I195" s="56"/>
      <c r="J195" s="200"/>
      <c r="K195" s="84"/>
      <c r="L195" s="256"/>
    </row>
    <row r="196" spans="1:12" s="88" customFormat="1" ht="12.75" customHeight="1">
      <c r="A196" s="79">
        <v>1.195</v>
      </c>
      <c r="B196" s="75" t="s">
        <v>1349</v>
      </c>
      <c r="C196" s="92" t="s">
        <v>1237</v>
      </c>
      <c r="D196" s="154" t="s">
        <v>808</v>
      </c>
      <c r="E196" s="77" t="s">
        <v>1344</v>
      </c>
      <c r="F196" s="56" t="s">
        <v>105</v>
      </c>
      <c r="G196" s="56" t="s">
        <v>105</v>
      </c>
      <c r="H196" s="56" t="s">
        <v>105</v>
      </c>
      <c r="I196" s="56"/>
      <c r="J196" s="200"/>
      <c r="K196" s="84"/>
      <c r="L196" s="256"/>
    </row>
    <row r="197" spans="1:12" s="88" customFormat="1" ht="12.75" customHeight="1">
      <c r="A197" s="79">
        <v>1.195</v>
      </c>
      <c r="B197" s="75" t="s">
        <v>1789</v>
      </c>
      <c r="C197" s="92" t="s">
        <v>1237</v>
      </c>
      <c r="D197" s="154" t="s">
        <v>808</v>
      </c>
      <c r="E197" s="77" t="s">
        <v>1788</v>
      </c>
      <c r="F197" s="56" t="s">
        <v>105</v>
      </c>
      <c r="G197" s="56" t="s">
        <v>105</v>
      </c>
      <c r="H197" s="56" t="s">
        <v>105</v>
      </c>
      <c r="I197" s="56"/>
      <c r="J197" s="200"/>
      <c r="K197" s="84"/>
      <c r="L197" s="256"/>
    </row>
    <row r="198" spans="1:12" s="88" customFormat="1" ht="12.75" customHeight="1">
      <c r="A198" s="79">
        <v>1.195</v>
      </c>
      <c r="B198" s="75" t="s">
        <v>1350</v>
      </c>
      <c r="C198" s="92" t="s">
        <v>1237</v>
      </c>
      <c r="D198" s="154" t="s">
        <v>808</v>
      </c>
      <c r="E198" s="77" t="s">
        <v>1345</v>
      </c>
      <c r="F198" s="56" t="s">
        <v>105</v>
      </c>
      <c r="G198" s="56" t="s">
        <v>105</v>
      </c>
      <c r="H198" s="56" t="s">
        <v>105</v>
      </c>
      <c r="I198" s="56"/>
      <c r="J198" s="200"/>
      <c r="K198" s="84"/>
      <c r="L198" s="256"/>
    </row>
    <row r="199" spans="1:12" s="88" customFormat="1" ht="12.75" customHeight="1">
      <c r="A199" s="79">
        <v>1.195</v>
      </c>
      <c r="B199" s="75" t="s">
        <v>1790</v>
      </c>
      <c r="C199" s="92" t="s">
        <v>1237</v>
      </c>
      <c r="D199" s="154" t="s">
        <v>808</v>
      </c>
      <c r="E199" s="77" t="s">
        <v>1791</v>
      </c>
      <c r="F199" s="56" t="s">
        <v>105</v>
      </c>
      <c r="G199" s="56" t="s">
        <v>105</v>
      </c>
      <c r="H199" s="56" t="s">
        <v>105</v>
      </c>
      <c r="I199" s="56"/>
      <c r="J199" s="200"/>
      <c r="K199" s="84"/>
      <c r="L199" s="256"/>
    </row>
    <row r="200" spans="1:12" s="88" customFormat="1" ht="12.75" customHeight="1">
      <c r="A200" s="79">
        <v>1.195</v>
      </c>
      <c r="B200" s="75" t="s">
        <v>1787</v>
      </c>
      <c r="C200" s="92" t="s">
        <v>1237</v>
      </c>
      <c r="D200" s="154" t="s">
        <v>808</v>
      </c>
      <c r="E200" s="77" t="s">
        <v>1786</v>
      </c>
      <c r="F200" s="56" t="s">
        <v>105</v>
      </c>
      <c r="G200" s="56" t="s">
        <v>105</v>
      </c>
      <c r="H200" s="56" t="s">
        <v>105</v>
      </c>
      <c r="I200" s="56"/>
      <c r="J200" s="200"/>
      <c r="K200" s="84"/>
      <c r="L200" s="256"/>
    </row>
    <row r="201" spans="1:12" s="88" customFormat="1" ht="12.75" customHeight="1">
      <c r="A201" s="79">
        <v>1.195</v>
      </c>
      <c r="B201" s="75" t="s">
        <v>1351</v>
      </c>
      <c r="C201" s="92" t="s">
        <v>1237</v>
      </c>
      <c r="D201" s="154" t="s">
        <v>808</v>
      </c>
      <c r="E201" s="77" t="s">
        <v>1346</v>
      </c>
      <c r="F201" s="56" t="s">
        <v>105</v>
      </c>
      <c r="G201" s="56" t="s">
        <v>105</v>
      </c>
      <c r="H201" s="56" t="s">
        <v>105</v>
      </c>
      <c r="I201" s="56"/>
      <c r="J201" s="200"/>
      <c r="K201" s="84"/>
      <c r="L201" s="256"/>
    </row>
    <row r="202" spans="1:12" s="88" customFormat="1" ht="12.75" customHeight="1">
      <c r="A202" s="79">
        <v>1.195</v>
      </c>
      <c r="B202" s="75" t="s">
        <v>1352</v>
      </c>
      <c r="C202" s="92" t="s">
        <v>1237</v>
      </c>
      <c r="D202" s="154" t="s">
        <v>808</v>
      </c>
      <c r="E202" s="77" t="s">
        <v>1347</v>
      </c>
      <c r="F202" s="56" t="s">
        <v>105</v>
      </c>
      <c r="G202" s="56" t="s">
        <v>105</v>
      </c>
      <c r="H202" s="56" t="s">
        <v>105</v>
      </c>
      <c r="I202" s="56"/>
      <c r="J202" s="200"/>
      <c r="K202" s="84"/>
      <c r="L202" s="256"/>
    </row>
    <row r="203" spans="1:12" s="88" customFormat="1" ht="12.75" customHeight="1">
      <c r="A203" s="79">
        <v>1.195</v>
      </c>
      <c r="B203" s="75" t="s">
        <v>1353</v>
      </c>
      <c r="C203" s="92" t="s">
        <v>1237</v>
      </c>
      <c r="D203" s="154" t="s">
        <v>808</v>
      </c>
      <c r="E203" s="77" t="s">
        <v>1348</v>
      </c>
      <c r="F203" s="56" t="s">
        <v>105</v>
      </c>
      <c r="G203" s="56" t="s">
        <v>105</v>
      </c>
      <c r="H203" s="56" t="s">
        <v>105</v>
      </c>
      <c r="I203" s="56"/>
      <c r="J203" s="200"/>
      <c r="K203" s="84"/>
      <c r="L203" s="256"/>
    </row>
    <row r="204" spans="1:11" ht="12.75" customHeight="1">
      <c r="A204" s="127">
        <v>1.17</v>
      </c>
      <c r="B204" s="75" t="s">
        <v>792</v>
      </c>
      <c r="C204" s="92" t="s">
        <v>1925</v>
      </c>
      <c r="D204" s="154" t="s">
        <v>808</v>
      </c>
      <c r="E204" s="77" t="s">
        <v>791</v>
      </c>
      <c r="F204" s="56" t="s">
        <v>105</v>
      </c>
      <c r="G204" s="56" t="s">
        <v>105</v>
      </c>
      <c r="H204" s="56" t="s">
        <v>105</v>
      </c>
      <c r="I204" s="56"/>
      <c r="J204" s="200"/>
      <c r="K204" s="84"/>
    </row>
    <row r="205" spans="1:11" ht="12.75" customHeight="1">
      <c r="A205" s="127">
        <v>1.194</v>
      </c>
      <c r="B205" s="75" t="s">
        <v>960</v>
      </c>
      <c r="C205" s="92" t="s">
        <v>918</v>
      </c>
      <c r="D205" s="154" t="s">
        <v>808</v>
      </c>
      <c r="E205" s="77" t="s">
        <v>1442</v>
      </c>
      <c r="F205" s="56" t="s">
        <v>105</v>
      </c>
      <c r="G205" s="56" t="s">
        <v>105</v>
      </c>
      <c r="H205" s="56" t="s">
        <v>105</v>
      </c>
      <c r="I205" s="56"/>
      <c r="J205" s="200"/>
      <c r="K205" s="84" t="s">
        <v>105</v>
      </c>
    </row>
    <row r="206" spans="1:11" ht="12.75" customHeight="1">
      <c r="A206" s="127">
        <v>1.194</v>
      </c>
      <c r="B206" s="75" t="s">
        <v>1390</v>
      </c>
      <c r="C206" s="92" t="s">
        <v>918</v>
      </c>
      <c r="D206" s="154" t="s">
        <v>808</v>
      </c>
      <c r="E206" s="77" t="s">
        <v>1443</v>
      </c>
      <c r="F206" s="56" t="s">
        <v>105</v>
      </c>
      <c r="G206" s="56" t="s">
        <v>105</v>
      </c>
      <c r="H206" s="56" t="s">
        <v>105</v>
      </c>
      <c r="I206" s="56"/>
      <c r="J206" s="200"/>
      <c r="K206" s="84"/>
    </row>
    <row r="207" spans="1:11" ht="12.75" customHeight="1">
      <c r="A207" s="127">
        <v>1.16</v>
      </c>
      <c r="B207" s="75" t="s">
        <v>1182</v>
      </c>
      <c r="C207" s="92" t="s">
        <v>1901</v>
      </c>
      <c r="D207" s="154" t="s">
        <v>808</v>
      </c>
      <c r="E207" s="77" t="s">
        <v>1183</v>
      </c>
      <c r="F207" s="56" t="s">
        <v>105</v>
      </c>
      <c r="G207" s="56" t="s">
        <v>105</v>
      </c>
      <c r="H207" s="56" t="s">
        <v>105</v>
      </c>
      <c r="I207" s="56"/>
      <c r="J207" s="200"/>
      <c r="K207" s="84"/>
    </row>
    <row r="208" spans="1:11" ht="12.75" customHeight="1">
      <c r="A208" s="127">
        <v>1.16</v>
      </c>
      <c r="B208" s="75" t="s">
        <v>1903</v>
      </c>
      <c r="C208" s="92" t="s">
        <v>1901</v>
      </c>
      <c r="D208" s="154" t="s">
        <v>808</v>
      </c>
      <c r="E208" s="77" t="s">
        <v>1904</v>
      </c>
      <c r="F208" s="56" t="s">
        <v>105</v>
      </c>
      <c r="G208" s="56" t="s">
        <v>105</v>
      </c>
      <c r="H208" s="56" t="s">
        <v>105</v>
      </c>
      <c r="I208" s="56"/>
      <c r="J208" s="200"/>
      <c r="K208" s="84"/>
    </row>
    <row r="209" spans="1:11" ht="12.75" customHeight="1">
      <c r="A209" s="217">
        <v>1.39</v>
      </c>
      <c r="B209" s="75" t="s">
        <v>1388</v>
      </c>
      <c r="C209" s="92" t="s">
        <v>918</v>
      </c>
      <c r="D209" s="154" t="s">
        <v>808</v>
      </c>
      <c r="E209" s="77" t="s">
        <v>1389</v>
      </c>
      <c r="F209" s="56" t="s">
        <v>105</v>
      </c>
      <c r="G209" s="56" t="s">
        <v>105</v>
      </c>
      <c r="H209" s="56" t="s">
        <v>105</v>
      </c>
      <c r="I209" s="56"/>
      <c r="J209" s="200"/>
      <c r="K209" s="84"/>
    </row>
    <row r="210" spans="1:11" ht="12.75" customHeight="1">
      <c r="A210" s="79">
        <v>1.73</v>
      </c>
      <c r="B210" s="75" t="s">
        <v>971</v>
      </c>
      <c r="C210" s="92" t="s">
        <v>970</v>
      </c>
      <c r="D210" s="154" t="s">
        <v>808</v>
      </c>
      <c r="E210" s="77" t="s">
        <v>969</v>
      </c>
      <c r="F210" s="56" t="s">
        <v>105</v>
      </c>
      <c r="G210" s="56" t="s">
        <v>105</v>
      </c>
      <c r="H210" s="56" t="s">
        <v>105</v>
      </c>
      <c r="I210" s="56"/>
      <c r="J210" s="200"/>
      <c r="K210" s="84"/>
    </row>
    <row r="211" spans="1:11" ht="12.75" customHeight="1">
      <c r="A211" s="127">
        <v>1.18</v>
      </c>
      <c r="B211" s="75" t="s">
        <v>1056</v>
      </c>
      <c r="C211" s="92" t="s">
        <v>991</v>
      </c>
      <c r="D211" s="154" t="s">
        <v>808</v>
      </c>
      <c r="E211" s="77" t="s">
        <v>1055</v>
      </c>
      <c r="F211" s="56" t="s">
        <v>105</v>
      </c>
      <c r="G211" s="56" t="s">
        <v>105</v>
      </c>
      <c r="H211" s="56" t="s">
        <v>105</v>
      </c>
      <c r="I211" s="56"/>
      <c r="J211" s="200"/>
      <c r="K211" s="84"/>
    </row>
    <row r="212" spans="1:11" ht="12.75" customHeight="1">
      <c r="A212" s="127">
        <v>1.121</v>
      </c>
      <c r="B212" s="75" t="s">
        <v>1274</v>
      </c>
      <c r="C212" s="92" t="s">
        <v>1272</v>
      </c>
      <c r="D212" s="154" t="s">
        <v>808</v>
      </c>
      <c r="E212" s="77" t="s">
        <v>1275</v>
      </c>
      <c r="F212" s="56" t="s">
        <v>105</v>
      </c>
      <c r="G212" s="56" t="s">
        <v>105</v>
      </c>
      <c r="H212" s="56" t="s">
        <v>105</v>
      </c>
      <c r="I212" s="56"/>
      <c r="J212" s="200"/>
      <c r="K212" s="84"/>
    </row>
    <row r="213" spans="1:11" ht="12.75" customHeight="1">
      <c r="A213" s="127">
        <v>1.196</v>
      </c>
      <c r="B213" s="75" t="s">
        <v>1762</v>
      </c>
      <c r="C213" s="92" t="s">
        <v>1747</v>
      </c>
      <c r="D213" s="154" t="s">
        <v>808</v>
      </c>
      <c r="E213" s="77" t="s">
        <v>1761</v>
      </c>
      <c r="F213" s="56" t="s">
        <v>105</v>
      </c>
      <c r="G213" s="56" t="s">
        <v>105</v>
      </c>
      <c r="H213" s="56" t="s">
        <v>105</v>
      </c>
      <c r="I213" s="56"/>
      <c r="J213" s="200"/>
      <c r="K213" s="84"/>
    </row>
    <row r="214" spans="1:11" ht="12.75" customHeight="1">
      <c r="A214" s="79">
        <v>1.178</v>
      </c>
      <c r="B214" s="75" t="s">
        <v>369</v>
      </c>
      <c r="C214" s="134" t="s">
        <v>949</v>
      </c>
      <c r="D214" s="154" t="s">
        <v>808</v>
      </c>
      <c r="E214" s="77" t="s">
        <v>490</v>
      </c>
      <c r="F214" s="56" t="s">
        <v>105</v>
      </c>
      <c r="G214" s="56" t="s">
        <v>105</v>
      </c>
      <c r="H214" s="56" t="s">
        <v>105</v>
      </c>
      <c r="I214" s="56"/>
      <c r="J214" s="200"/>
      <c r="K214" s="84"/>
    </row>
    <row r="215" spans="1:11" ht="12.75" customHeight="1">
      <c r="A215" s="79">
        <v>1.95</v>
      </c>
      <c r="B215" s="75" t="s">
        <v>381</v>
      </c>
      <c r="C215" s="92" t="s">
        <v>439</v>
      </c>
      <c r="D215" s="154" t="s">
        <v>808</v>
      </c>
      <c r="E215" s="77" t="s">
        <v>501</v>
      </c>
      <c r="F215" s="56" t="s">
        <v>105</v>
      </c>
      <c r="G215" s="56" t="s">
        <v>105</v>
      </c>
      <c r="H215" s="56" t="s">
        <v>105</v>
      </c>
      <c r="I215" s="56"/>
      <c r="J215" s="200"/>
      <c r="K215" s="84" t="s">
        <v>105</v>
      </c>
    </row>
    <row r="216" spans="1:11" ht="12.75" customHeight="1">
      <c r="A216" s="79">
        <v>1.95</v>
      </c>
      <c r="B216" s="75" t="s">
        <v>382</v>
      </c>
      <c r="C216" s="92" t="s">
        <v>439</v>
      </c>
      <c r="D216" s="154" t="s">
        <v>808</v>
      </c>
      <c r="E216" s="77" t="s">
        <v>502</v>
      </c>
      <c r="F216" s="56" t="s">
        <v>105</v>
      </c>
      <c r="G216" s="56" t="s">
        <v>105</v>
      </c>
      <c r="H216" s="56" t="s">
        <v>105</v>
      </c>
      <c r="I216" s="56"/>
      <c r="J216" s="200"/>
      <c r="K216" s="84"/>
    </row>
    <row r="217" spans="1:11" ht="12.75" customHeight="1">
      <c r="A217" s="79">
        <v>1.95</v>
      </c>
      <c r="B217" s="75" t="s">
        <v>383</v>
      </c>
      <c r="C217" s="92" t="s">
        <v>439</v>
      </c>
      <c r="D217" s="154" t="s">
        <v>808</v>
      </c>
      <c r="E217" s="77" t="s">
        <v>503</v>
      </c>
      <c r="F217" s="56" t="s">
        <v>105</v>
      </c>
      <c r="G217" s="56" t="s">
        <v>105</v>
      </c>
      <c r="H217" s="56" t="s">
        <v>105</v>
      </c>
      <c r="I217" s="56"/>
      <c r="J217" s="200"/>
      <c r="K217" s="84" t="s">
        <v>105</v>
      </c>
    </row>
    <row r="218" spans="1:11" ht="12.75" customHeight="1">
      <c r="A218" s="79">
        <v>1.95</v>
      </c>
      <c r="B218" s="75" t="s">
        <v>1480</v>
      </c>
      <c r="C218" s="92" t="s">
        <v>439</v>
      </c>
      <c r="D218" s="154" t="s">
        <v>808</v>
      </c>
      <c r="E218" s="77" t="s">
        <v>1481</v>
      </c>
      <c r="F218" s="56" t="s">
        <v>105</v>
      </c>
      <c r="G218" s="56" t="s">
        <v>105</v>
      </c>
      <c r="H218" s="56" t="s">
        <v>105</v>
      </c>
      <c r="I218" s="56"/>
      <c r="J218" s="200"/>
      <c r="K218" s="84"/>
    </row>
    <row r="219" spans="1:11" ht="12.75" customHeight="1">
      <c r="A219" s="79">
        <v>1.85</v>
      </c>
      <c r="B219" s="75" t="s">
        <v>1359</v>
      </c>
      <c r="C219" s="92" t="s">
        <v>482</v>
      </c>
      <c r="D219" s="154" t="s">
        <v>808</v>
      </c>
      <c r="E219" s="77" t="s">
        <v>1360</v>
      </c>
      <c r="F219" s="56" t="s">
        <v>105</v>
      </c>
      <c r="G219" s="56" t="s">
        <v>105</v>
      </c>
      <c r="H219" s="56" t="s">
        <v>105</v>
      </c>
      <c r="I219" s="56"/>
      <c r="J219" s="200"/>
      <c r="K219" s="84"/>
    </row>
    <row r="220" spans="1:11" ht="12.75" customHeight="1">
      <c r="A220" s="79">
        <v>1.85</v>
      </c>
      <c r="B220" s="75" t="s">
        <v>412</v>
      </c>
      <c r="C220" s="92" t="s">
        <v>482</v>
      </c>
      <c r="D220" s="154" t="s">
        <v>808</v>
      </c>
      <c r="E220" s="77" t="s">
        <v>529</v>
      </c>
      <c r="F220" s="56" t="s">
        <v>105</v>
      </c>
      <c r="G220" s="56" t="s">
        <v>105</v>
      </c>
      <c r="H220" s="56" t="s">
        <v>105</v>
      </c>
      <c r="I220" s="56"/>
      <c r="J220" s="200"/>
      <c r="K220" s="84"/>
    </row>
    <row r="221" spans="1:11" ht="12.75" customHeight="1" thickBot="1">
      <c r="A221" s="79">
        <v>1.85</v>
      </c>
      <c r="B221" s="75" t="s">
        <v>978</v>
      </c>
      <c r="C221" s="92" t="s">
        <v>482</v>
      </c>
      <c r="D221" s="154" t="s">
        <v>808</v>
      </c>
      <c r="E221" s="77" t="s">
        <v>979</v>
      </c>
      <c r="F221" s="56" t="s">
        <v>105</v>
      </c>
      <c r="G221" s="56" t="s">
        <v>105</v>
      </c>
      <c r="H221" s="56" t="s">
        <v>105</v>
      </c>
      <c r="I221" s="93"/>
      <c r="J221" s="204"/>
      <c r="K221" s="94"/>
    </row>
    <row r="222" spans="1:11" ht="21" thickBot="1">
      <c r="A222" s="271" t="s">
        <v>1622</v>
      </c>
      <c r="B222" s="272"/>
      <c r="C222" s="194">
        <f>SUBTOTAL(3,D223:D237)</f>
        <v>15</v>
      </c>
      <c r="D222" s="287" t="s">
        <v>809</v>
      </c>
      <c r="E222" s="288"/>
      <c r="F222" s="288"/>
      <c r="G222" s="288"/>
      <c r="H222" s="288"/>
      <c r="I222" s="288"/>
      <c r="J222" s="288"/>
      <c r="K222" s="289"/>
    </row>
    <row r="223" spans="1:12" s="130" customFormat="1" ht="12.75" customHeight="1">
      <c r="A223" s="79">
        <v>1.57</v>
      </c>
      <c r="B223" s="75" t="s">
        <v>364</v>
      </c>
      <c r="C223" s="92" t="s">
        <v>478</v>
      </c>
      <c r="D223" s="154" t="s">
        <v>810</v>
      </c>
      <c r="E223" s="77" t="s">
        <v>643</v>
      </c>
      <c r="F223" s="56" t="s">
        <v>105</v>
      </c>
      <c r="G223" s="56" t="s">
        <v>105</v>
      </c>
      <c r="H223" s="56" t="s">
        <v>105</v>
      </c>
      <c r="I223" s="56"/>
      <c r="J223" s="200"/>
      <c r="K223" s="84"/>
      <c r="L223" s="255"/>
    </row>
    <row r="224" spans="1:11" ht="12.75">
      <c r="A224" s="79">
        <v>1.46</v>
      </c>
      <c r="B224" s="75" t="s">
        <v>361</v>
      </c>
      <c r="C224" s="92" t="s">
        <v>477</v>
      </c>
      <c r="D224" s="154" t="s">
        <v>810</v>
      </c>
      <c r="E224" s="77" t="s">
        <v>486</v>
      </c>
      <c r="F224" s="56" t="s">
        <v>105</v>
      </c>
      <c r="G224" s="56" t="s">
        <v>105</v>
      </c>
      <c r="H224" s="56" t="s">
        <v>105</v>
      </c>
      <c r="I224" s="56"/>
      <c r="J224" s="200"/>
      <c r="K224" s="84"/>
    </row>
    <row r="225" spans="1:12" s="88" customFormat="1" ht="12.75" customHeight="1">
      <c r="A225" s="155">
        <v>2.392</v>
      </c>
      <c r="B225" s="75" t="s">
        <v>1375</v>
      </c>
      <c r="C225" s="134" t="s">
        <v>1374</v>
      </c>
      <c r="D225" s="154" t="s">
        <v>810</v>
      </c>
      <c r="E225" s="77" t="s">
        <v>1444</v>
      </c>
      <c r="F225" s="56" t="s">
        <v>105</v>
      </c>
      <c r="G225" s="56" t="s">
        <v>105</v>
      </c>
      <c r="H225" s="56" t="s">
        <v>105</v>
      </c>
      <c r="I225" s="86"/>
      <c r="J225" s="203"/>
      <c r="K225" s="87"/>
      <c r="L225" s="256"/>
    </row>
    <row r="226" spans="1:12" s="88" customFormat="1" ht="12.75" customHeight="1">
      <c r="A226" s="155">
        <v>2.392</v>
      </c>
      <c r="B226" s="75" t="s">
        <v>1376</v>
      </c>
      <c r="C226" s="134" t="s">
        <v>1374</v>
      </c>
      <c r="D226" s="154" t="s">
        <v>810</v>
      </c>
      <c r="E226" s="77" t="s">
        <v>1445</v>
      </c>
      <c r="F226" s="56" t="s">
        <v>105</v>
      </c>
      <c r="G226" s="56" t="s">
        <v>105</v>
      </c>
      <c r="H226" s="56" t="s">
        <v>105</v>
      </c>
      <c r="I226" s="86"/>
      <c r="J226" s="203"/>
      <c r="K226" s="87"/>
      <c r="L226" s="256"/>
    </row>
    <row r="227" spans="1:12" s="88" customFormat="1" ht="12.75" customHeight="1">
      <c r="A227" s="155">
        <v>1.195</v>
      </c>
      <c r="B227" s="75" t="s">
        <v>1145</v>
      </c>
      <c r="C227" s="92" t="s">
        <v>1237</v>
      </c>
      <c r="D227" s="154" t="s">
        <v>810</v>
      </c>
      <c r="E227" s="77" t="s">
        <v>1147</v>
      </c>
      <c r="F227" s="56" t="s">
        <v>105</v>
      </c>
      <c r="G227" s="56" t="s">
        <v>105</v>
      </c>
      <c r="H227" s="56" t="s">
        <v>105</v>
      </c>
      <c r="I227" s="86"/>
      <c r="J227" s="203"/>
      <c r="K227" s="87"/>
      <c r="L227" s="256"/>
    </row>
    <row r="228" spans="1:12" s="88" customFormat="1" ht="12.75" customHeight="1">
      <c r="A228" s="155">
        <v>1.195</v>
      </c>
      <c r="B228" s="75" t="s">
        <v>1146</v>
      </c>
      <c r="C228" s="92" t="s">
        <v>1237</v>
      </c>
      <c r="D228" s="154" t="s">
        <v>810</v>
      </c>
      <c r="E228" s="77" t="s">
        <v>1148</v>
      </c>
      <c r="F228" s="56" t="s">
        <v>105</v>
      </c>
      <c r="G228" s="56" t="s">
        <v>105</v>
      </c>
      <c r="H228" s="56" t="s">
        <v>105</v>
      </c>
      <c r="I228" s="86"/>
      <c r="J228" s="203"/>
      <c r="K228" s="87"/>
      <c r="L228" s="256"/>
    </row>
    <row r="229" spans="1:12" s="88" customFormat="1" ht="12.75" customHeight="1">
      <c r="A229" s="155">
        <v>1.195</v>
      </c>
      <c r="B229" s="75" t="s">
        <v>1856</v>
      </c>
      <c r="C229" s="92" t="s">
        <v>1237</v>
      </c>
      <c r="D229" s="154" t="s">
        <v>810</v>
      </c>
      <c r="E229" s="77" t="s">
        <v>1855</v>
      </c>
      <c r="F229" s="56" t="s">
        <v>105</v>
      </c>
      <c r="G229" s="56" t="s">
        <v>105</v>
      </c>
      <c r="H229" s="56" t="s">
        <v>105</v>
      </c>
      <c r="I229" s="86"/>
      <c r="J229" s="203"/>
      <c r="K229" s="87"/>
      <c r="L229" s="256"/>
    </row>
    <row r="230" spans="1:12" s="88" customFormat="1" ht="12.75" customHeight="1">
      <c r="A230" s="155">
        <v>1.197</v>
      </c>
      <c r="B230" s="75" t="s">
        <v>1577</v>
      </c>
      <c r="C230" s="92" t="s">
        <v>1576</v>
      </c>
      <c r="D230" s="154" t="s">
        <v>810</v>
      </c>
      <c r="E230" s="77" t="s">
        <v>1575</v>
      </c>
      <c r="F230" s="56" t="s">
        <v>105</v>
      </c>
      <c r="G230" s="56" t="s">
        <v>105</v>
      </c>
      <c r="H230" s="56" t="s">
        <v>105</v>
      </c>
      <c r="I230" s="86"/>
      <c r="J230" s="203"/>
      <c r="K230" s="87"/>
      <c r="L230" s="256"/>
    </row>
    <row r="231" spans="1:12" s="88" customFormat="1" ht="12.75" customHeight="1">
      <c r="A231" s="155">
        <v>1.155</v>
      </c>
      <c r="B231" s="75" t="s">
        <v>1591</v>
      </c>
      <c r="C231" s="92" t="s">
        <v>1592</v>
      </c>
      <c r="D231" s="154" t="s">
        <v>810</v>
      </c>
      <c r="E231" s="77" t="s">
        <v>1593</v>
      </c>
      <c r="F231" s="56" t="s">
        <v>105</v>
      </c>
      <c r="G231" s="56" t="s">
        <v>105</v>
      </c>
      <c r="H231" s="56" t="s">
        <v>105</v>
      </c>
      <c r="I231" s="86"/>
      <c r="J231" s="203"/>
      <c r="K231" s="87"/>
      <c r="L231" s="256"/>
    </row>
    <row r="232" spans="1:12" s="88" customFormat="1" ht="12.75" customHeight="1">
      <c r="A232" s="79">
        <v>1.39</v>
      </c>
      <c r="B232" s="75" t="s">
        <v>1075</v>
      </c>
      <c r="C232" s="92" t="s">
        <v>918</v>
      </c>
      <c r="D232" s="154" t="s">
        <v>810</v>
      </c>
      <c r="E232" s="77" t="s">
        <v>1446</v>
      </c>
      <c r="F232" s="56" t="s">
        <v>105</v>
      </c>
      <c r="G232" s="56" t="s">
        <v>105</v>
      </c>
      <c r="H232" s="56" t="s">
        <v>105</v>
      </c>
      <c r="I232" s="86"/>
      <c r="J232" s="203"/>
      <c r="K232" s="87"/>
      <c r="L232" s="256"/>
    </row>
    <row r="233" spans="1:12" s="88" customFormat="1" ht="12.75" customHeight="1">
      <c r="A233" s="79">
        <v>1.95</v>
      </c>
      <c r="B233" s="75" t="s">
        <v>1296</v>
      </c>
      <c r="C233" s="92" t="s">
        <v>439</v>
      </c>
      <c r="D233" s="154" t="s">
        <v>810</v>
      </c>
      <c r="E233" s="77" t="s">
        <v>1297</v>
      </c>
      <c r="F233" s="56" t="s">
        <v>105</v>
      </c>
      <c r="G233" s="56" t="s">
        <v>105</v>
      </c>
      <c r="H233" s="56" t="s">
        <v>105</v>
      </c>
      <c r="I233" s="86"/>
      <c r="J233" s="203"/>
      <c r="K233" s="84" t="s">
        <v>105</v>
      </c>
      <c r="L233" s="256"/>
    </row>
    <row r="234" spans="1:11" ht="12.75" customHeight="1">
      <c r="A234" s="79">
        <v>1.95</v>
      </c>
      <c r="B234" s="75" t="s">
        <v>397</v>
      </c>
      <c r="C234" s="92" t="s">
        <v>439</v>
      </c>
      <c r="D234" s="154" t="s">
        <v>810</v>
      </c>
      <c r="E234" s="77" t="s">
        <v>517</v>
      </c>
      <c r="F234" s="56" t="s">
        <v>105</v>
      </c>
      <c r="G234" s="56" t="s">
        <v>105</v>
      </c>
      <c r="H234" s="56" t="s">
        <v>105</v>
      </c>
      <c r="I234" s="56"/>
      <c r="J234" s="200"/>
      <c r="K234" s="84"/>
    </row>
    <row r="235" spans="1:11" ht="12.75" customHeight="1">
      <c r="A235" s="79">
        <v>1.95</v>
      </c>
      <c r="B235" s="75" t="s">
        <v>399</v>
      </c>
      <c r="C235" s="92" t="s">
        <v>439</v>
      </c>
      <c r="D235" s="154" t="s">
        <v>810</v>
      </c>
      <c r="E235" s="77" t="s">
        <v>518</v>
      </c>
      <c r="F235" s="56" t="s">
        <v>105</v>
      </c>
      <c r="G235" s="56" t="s">
        <v>105</v>
      </c>
      <c r="H235" s="56" t="s">
        <v>105</v>
      </c>
      <c r="I235" s="56"/>
      <c r="J235" s="200"/>
      <c r="K235" s="84"/>
    </row>
    <row r="236" spans="1:11" ht="12.75" customHeight="1">
      <c r="A236" s="79">
        <v>1.95</v>
      </c>
      <c r="B236" s="75" t="s">
        <v>400</v>
      </c>
      <c r="C236" s="92" t="s">
        <v>439</v>
      </c>
      <c r="D236" s="154" t="s">
        <v>810</v>
      </c>
      <c r="E236" s="77" t="s">
        <v>519</v>
      </c>
      <c r="F236" s="56" t="s">
        <v>105</v>
      </c>
      <c r="G236" s="56" t="s">
        <v>105</v>
      </c>
      <c r="H236" s="56" t="s">
        <v>105</v>
      </c>
      <c r="I236" s="56"/>
      <c r="J236" s="200"/>
      <c r="K236" s="84"/>
    </row>
    <row r="237" spans="1:11" ht="12.75" customHeight="1" thickBot="1">
      <c r="A237" s="79">
        <v>1.95</v>
      </c>
      <c r="B237" s="75" t="s">
        <v>695</v>
      </c>
      <c r="C237" s="92" t="s">
        <v>439</v>
      </c>
      <c r="D237" s="154" t="s">
        <v>810</v>
      </c>
      <c r="E237" s="77" t="s">
        <v>696</v>
      </c>
      <c r="F237" s="56" t="s">
        <v>105</v>
      </c>
      <c r="G237" s="56" t="s">
        <v>105</v>
      </c>
      <c r="H237" s="56" t="s">
        <v>105</v>
      </c>
      <c r="I237" s="56"/>
      <c r="J237" s="200"/>
      <c r="K237" s="84"/>
    </row>
    <row r="238" spans="1:11" ht="21" thickBot="1">
      <c r="A238" s="271" t="s">
        <v>1622</v>
      </c>
      <c r="B238" s="272"/>
      <c r="C238" s="194">
        <f>SUBTOTAL(3,D239:D269)</f>
        <v>31</v>
      </c>
      <c r="D238" s="287" t="s">
        <v>811</v>
      </c>
      <c r="E238" s="288"/>
      <c r="F238" s="288"/>
      <c r="G238" s="288"/>
      <c r="H238" s="288"/>
      <c r="I238" s="288"/>
      <c r="J238" s="288"/>
      <c r="K238" s="289"/>
    </row>
    <row r="239" spans="1:11" ht="12.75" customHeight="1">
      <c r="A239" s="127">
        <v>1.109</v>
      </c>
      <c r="B239" s="75" t="s">
        <v>1580</v>
      </c>
      <c r="C239" s="92" t="s">
        <v>1582</v>
      </c>
      <c r="D239" s="154" t="s">
        <v>812</v>
      </c>
      <c r="E239" s="77" t="s">
        <v>1578</v>
      </c>
      <c r="F239" s="56" t="s">
        <v>105</v>
      </c>
      <c r="G239" s="56" t="s">
        <v>105</v>
      </c>
      <c r="H239" s="56" t="s">
        <v>105</v>
      </c>
      <c r="I239" s="56"/>
      <c r="J239" s="200"/>
      <c r="K239" s="84"/>
    </row>
    <row r="240" spans="1:11" ht="12.75" customHeight="1">
      <c r="A240" s="127">
        <v>1.112</v>
      </c>
      <c r="B240" s="75" t="s">
        <v>1581</v>
      </c>
      <c r="C240" s="92" t="s">
        <v>1583</v>
      </c>
      <c r="D240" s="154" t="s">
        <v>812</v>
      </c>
      <c r="E240" s="77" t="s">
        <v>1579</v>
      </c>
      <c r="F240" s="56" t="s">
        <v>105</v>
      </c>
      <c r="G240" s="56" t="s">
        <v>105</v>
      </c>
      <c r="H240" s="56" t="s">
        <v>105</v>
      </c>
      <c r="I240" s="56"/>
      <c r="J240" s="200"/>
      <c r="K240" s="84"/>
    </row>
    <row r="241" spans="1:11" ht="12.75" customHeight="1">
      <c r="A241" s="79">
        <v>1.178</v>
      </c>
      <c r="B241" s="75" t="s">
        <v>367</v>
      </c>
      <c r="C241" s="134" t="s">
        <v>949</v>
      </c>
      <c r="D241" s="154" t="s">
        <v>812</v>
      </c>
      <c r="E241" s="77" t="s">
        <v>488</v>
      </c>
      <c r="F241" s="56" t="s">
        <v>105</v>
      </c>
      <c r="G241" s="56" t="s">
        <v>105</v>
      </c>
      <c r="H241" s="56" t="s">
        <v>105</v>
      </c>
      <c r="I241" s="56"/>
      <c r="J241" s="200"/>
      <c r="K241" s="84"/>
    </row>
    <row r="242" spans="1:11" ht="12.75" customHeight="1">
      <c r="A242" s="79">
        <v>1.178</v>
      </c>
      <c r="B242" s="75" t="s">
        <v>368</v>
      </c>
      <c r="C242" s="134" t="s">
        <v>949</v>
      </c>
      <c r="D242" s="154" t="s">
        <v>812</v>
      </c>
      <c r="E242" s="77" t="s">
        <v>489</v>
      </c>
      <c r="F242" s="56" t="s">
        <v>105</v>
      </c>
      <c r="G242" s="56" t="s">
        <v>105</v>
      </c>
      <c r="H242" s="56" t="s">
        <v>105</v>
      </c>
      <c r="I242" s="56"/>
      <c r="J242" s="200"/>
      <c r="K242" s="84"/>
    </row>
    <row r="243" spans="1:11" ht="12.75" customHeight="1">
      <c r="A243" s="79">
        <v>1.178</v>
      </c>
      <c r="B243" s="75" t="s">
        <v>1269</v>
      </c>
      <c r="C243" s="134" t="s">
        <v>949</v>
      </c>
      <c r="D243" s="154" t="s">
        <v>812</v>
      </c>
      <c r="E243" s="77" t="s">
        <v>1447</v>
      </c>
      <c r="F243" s="56" t="s">
        <v>105</v>
      </c>
      <c r="G243" s="56" t="s">
        <v>105</v>
      </c>
      <c r="H243" s="56" t="s">
        <v>105</v>
      </c>
      <c r="I243" s="56"/>
      <c r="J243" s="200"/>
      <c r="K243" s="84"/>
    </row>
    <row r="244" spans="1:11" ht="12.75" customHeight="1">
      <c r="A244" s="79">
        <v>1.178</v>
      </c>
      <c r="B244" s="75" t="s">
        <v>1422</v>
      </c>
      <c r="C244" s="134" t="s">
        <v>949</v>
      </c>
      <c r="D244" s="154" t="s">
        <v>812</v>
      </c>
      <c r="E244" s="77" t="s">
        <v>1448</v>
      </c>
      <c r="F244" s="56" t="s">
        <v>105</v>
      </c>
      <c r="G244" s="56" t="s">
        <v>105</v>
      </c>
      <c r="H244" s="56" t="s">
        <v>105</v>
      </c>
      <c r="I244" s="56"/>
      <c r="J244" s="200"/>
      <c r="K244" s="84"/>
    </row>
    <row r="245" spans="1:11" ht="12.75" customHeight="1">
      <c r="A245" s="79">
        <v>1.86</v>
      </c>
      <c r="B245" s="75" t="s">
        <v>1587</v>
      </c>
      <c r="C245" s="134" t="s">
        <v>1590</v>
      </c>
      <c r="D245" s="154" t="s">
        <v>812</v>
      </c>
      <c r="E245" s="77" t="s">
        <v>1584</v>
      </c>
      <c r="F245" s="56" t="s">
        <v>105</v>
      </c>
      <c r="G245" s="56" t="s">
        <v>105</v>
      </c>
      <c r="H245" s="56" t="s">
        <v>105</v>
      </c>
      <c r="I245" s="56"/>
      <c r="J245" s="200"/>
      <c r="K245" s="84"/>
    </row>
    <row r="246" spans="1:11" ht="12.75" customHeight="1">
      <c r="A246" s="79">
        <v>1.86</v>
      </c>
      <c r="B246" s="75" t="s">
        <v>1588</v>
      </c>
      <c r="C246" s="134" t="s">
        <v>1590</v>
      </c>
      <c r="D246" s="154" t="s">
        <v>812</v>
      </c>
      <c r="E246" s="77" t="s">
        <v>1585</v>
      </c>
      <c r="F246" s="56" t="s">
        <v>105</v>
      </c>
      <c r="G246" s="56" t="s">
        <v>105</v>
      </c>
      <c r="H246" s="56" t="s">
        <v>105</v>
      </c>
      <c r="I246" s="56"/>
      <c r="J246" s="200"/>
      <c r="K246" s="84"/>
    </row>
    <row r="247" spans="1:11" ht="12.75" customHeight="1">
      <c r="A247" s="79">
        <v>1.86</v>
      </c>
      <c r="B247" s="75" t="s">
        <v>1589</v>
      </c>
      <c r="C247" s="134" t="s">
        <v>1590</v>
      </c>
      <c r="D247" s="154" t="s">
        <v>812</v>
      </c>
      <c r="E247" s="77" t="s">
        <v>1586</v>
      </c>
      <c r="F247" s="56" t="s">
        <v>105</v>
      </c>
      <c r="G247" s="56" t="s">
        <v>105</v>
      </c>
      <c r="H247" s="56" t="s">
        <v>105</v>
      </c>
      <c r="I247" s="56"/>
      <c r="J247" s="200"/>
      <c r="K247" s="84"/>
    </row>
    <row r="248" spans="1:11" ht="12.75" customHeight="1">
      <c r="A248" s="79">
        <v>1.64</v>
      </c>
      <c r="B248" s="75" t="s">
        <v>1836</v>
      </c>
      <c r="C248" s="92" t="s">
        <v>479</v>
      </c>
      <c r="D248" s="154" t="s">
        <v>812</v>
      </c>
      <c r="E248" s="77" t="s">
        <v>1835</v>
      </c>
      <c r="F248" s="56" t="s">
        <v>105</v>
      </c>
      <c r="G248" s="56" t="s">
        <v>105</v>
      </c>
      <c r="H248" s="56" t="s">
        <v>105</v>
      </c>
      <c r="I248" s="56"/>
      <c r="J248" s="200"/>
      <c r="K248" s="84"/>
    </row>
    <row r="249" spans="1:11" ht="13.5" customHeight="1">
      <c r="A249" s="79">
        <v>1.64</v>
      </c>
      <c r="B249" s="75" t="s">
        <v>664</v>
      </c>
      <c r="C249" s="92" t="s">
        <v>479</v>
      </c>
      <c r="D249" s="154" t="s">
        <v>812</v>
      </c>
      <c r="E249" s="77" t="s">
        <v>663</v>
      </c>
      <c r="F249" s="56" t="s">
        <v>105</v>
      </c>
      <c r="G249" s="56" t="s">
        <v>105</v>
      </c>
      <c r="H249" s="56" t="s">
        <v>105</v>
      </c>
      <c r="I249" s="56"/>
      <c r="J249" s="200"/>
      <c r="K249" s="84"/>
    </row>
    <row r="250" spans="1:11" ht="12.75" customHeight="1">
      <c r="A250" s="79">
        <v>1.64</v>
      </c>
      <c r="B250" s="75" t="s">
        <v>428</v>
      </c>
      <c r="C250" s="92" t="s">
        <v>479</v>
      </c>
      <c r="D250" s="154" t="s">
        <v>812</v>
      </c>
      <c r="E250" s="77" t="s">
        <v>540</v>
      </c>
      <c r="F250" s="56" t="s">
        <v>105</v>
      </c>
      <c r="G250" s="56" t="s">
        <v>105</v>
      </c>
      <c r="H250" s="56" t="s">
        <v>105</v>
      </c>
      <c r="I250" s="56"/>
      <c r="J250" s="200"/>
      <c r="K250" s="84" t="s">
        <v>105</v>
      </c>
    </row>
    <row r="251" spans="1:11" ht="12.75">
      <c r="A251" s="79">
        <v>1.64</v>
      </c>
      <c r="B251" s="75" t="s">
        <v>429</v>
      </c>
      <c r="C251" s="92" t="s">
        <v>479</v>
      </c>
      <c r="D251" s="154" t="s">
        <v>812</v>
      </c>
      <c r="E251" s="77" t="s">
        <v>541</v>
      </c>
      <c r="F251" s="56" t="s">
        <v>105</v>
      </c>
      <c r="G251" s="56" t="s">
        <v>105</v>
      </c>
      <c r="H251" s="56" t="s">
        <v>105</v>
      </c>
      <c r="I251" s="56"/>
      <c r="J251" s="200"/>
      <c r="K251" s="84" t="s">
        <v>105</v>
      </c>
    </row>
    <row r="252" spans="1:11" ht="12.75">
      <c r="A252" s="79">
        <v>1.64</v>
      </c>
      <c r="B252" s="75" t="s">
        <v>430</v>
      </c>
      <c r="C252" s="92" t="s">
        <v>479</v>
      </c>
      <c r="D252" s="154" t="s">
        <v>812</v>
      </c>
      <c r="E252" s="77" t="s">
        <v>652</v>
      </c>
      <c r="F252" s="56" t="s">
        <v>105</v>
      </c>
      <c r="G252" s="56" t="s">
        <v>105</v>
      </c>
      <c r="H252" s="56" t="s">
        <v>105</v>
      </c>
      <c r="I252" s="56"/>
      <c r="J252" s="200"/>
      <c r="K252" s="84"/>
    </row>
    <row r="253" spans="1:11" ht="12.75">
      <c r="A253" s="79">
        <v>1.64</v>
      </c>
      <c r="B253" s="75" t="s">
        <v>431</v>
      </c>
      <c r="C253" s="92" t="s">
        <v>479</v>
      </c>
      <c r="D253" s="154" t="s">
        <v>812</v>
      </c>
      <c r="E253" s="77" t="s">
        <v>542</v>
      </c>
      <c r="F253" s="56" t="s">
        <v>105</v>
      </c>
      <c r="G253" s="56" t="s">
        <v>105</v>
      </c>
      <c r="H253" s="56" t="s">
        <v>105</v>
      </c>
      <c r="I253" s="56"/>
      <c r="J253" s="200"/>
      <c r="K253" s="84"/>
    </row>
    <row r="254" spans="1:11" ht="12.75">
      <c r="A254" s="79">
        <v>1.64</v>
      </c>
      <c r="B254" s="75" t="s">
        <v>432</v>
      </c>
      <c r="C254" s="92" t="s">
        <v>479</v>
      </c>
      <c r="D254" s="154" t="s">
        <v>812</v>
      </c>
      <c r="E254" s="77" t="s">
        <v>543</v>
      </c>
      <c r="F254" s="56" t="s">
        <v>105</v>
      </c>
      <c r="G254" s="56" t="s">
        <v>105</v>
      </c>
      <c r="H254" s="56" t="s">
        <v>105</v>
      </c>
      <c r="I254" s="56"/>
      <c r="J254" s="200"/>
      <c r="K254" s="84" t="s">
        <v>105</v>
      </c>
    </row>
    <row r="255" spans="1:11" ht="12.75" customHeight="1">
      <c r="A255" s="79">
        <v>1.64</v>
      </c>
      <c r="B255" s="75" t="s">
        <v>434</v>
      </c>
      <c r="C255" s="92" t="s">
        <v>479</v>
      </c>
      <c r="D255" s="154" t="s">
        <v>812</v>
      </c>
      <c r="E255" s="77" t="s">
        <v>544</v>
      </c>
      <c r="F255" s="56" t="s">
        <v>105</v>
      </c>
      <c r="G255" s="56" t="s">
        <v>105</v>
      </c>
      <c r="H255" s="56" t="s">
        <v>105</v>
      </c>
      <c r="I255" s="56"/>
      <c r="J255" s="200"/>
      <c r="K255" s="84" t="s">
        <v>105</v>
      </c>
    </row>
    <row r="256" spans="1:11" ht="12.75" customHeight="1">
      <c r="A256" s="79">
        <v>1.64</v>
      </c>
      <c r="B256" s="75" t="s">
        <v>1019</v>
      </c>
      <c r="C256" s="92" t="s">
        <v>479</v>
      </c>
      <c r="D256" s="154" t="s">
        <v>812</v>
      </c>
      <c r="E256" s="77" t="s">
        <v>1018</v>
      </c>
      <c r="F256" s="56" t="s">
        <v>105</v>
      </c>
      <c r="G256" s="56" t="s">
        <v>105</v>
      </c>
      <c r="H256" s="56" t="s">
        <v>105</v>
      </c>
      <c r="I256" s="56"/>
      <c r="J256" s="200"/>
      <c r="K256" s="84"/>
    </row>
    <row r="257" spans="1:11" ht="12.75" customHeight="1">
      <c r="A257" s="79">
        <v>1.121</v>
      </c>
      <c r="B257" s="75" t="s">
        <v>1271</v>
      </c>
      <c r="C257" s="92" t="s">
        <v>1272</v>
      </c>
      <c r="D257" s="154" t="s">
        <v>812</v>
      </c>
      <c r="E257" s="77" t="s">
        <v>1273</v>
      </c>
      <c r="F257" s="56" t="s">
        <v>105</v>
      </c>
      <c r="G257" s="56" t="s">
        <v>105</v>
      </c>
      <c r="H257" s="56" t="s">
        <v>105</v>
      </c>
      <c r="I257" s="56"/>
      <c r="J257" s="200"/>
      <c r="K257" s="84"/>
    </row>
    <row r="258" spans="1:11" ht="12.75" customHeight="1">
      <c r="A258" s="79">
        <v>1.85</v>
      </c>
      <c r="B258" s="75" t="s">
        <v>1517</v>
      </c>
      <c r="C258" s="92" t="s">
        <v>482</v>
      </c>
      <c r="D258" s="154" t="s">
        <v>812</v>
      </c>
      <c r="E258" s="77" t="s">
        <v>1518</v>
      </c>
      <c r="F258" s="56" t="s">
        <v>105</v>
      </c>
      <c r="G258" s="56" t="s">
        <v>105</v>
      </c>
      <c r="H258" s="56" t="s">
        <v>105</v>
      </c>
      <c r="I258" s="56"/>
      <c r="J258" s="200"/>
      <c r="K258" s="84"/>
    </row>
    <row r="259" spans="1:11" ht="12.75" customHeight="1">
      <c r="A259" s="79">
        <v>1.85</v>
      </c>
      <c r="B259" s="75" t="s">
        <v>1338</v>
      </c>
      <c r="C259" s="92" t="s">
        <v>482</v>
      </c>
      <c r="D259" s="154" t="s">
        <v>812</v>
      </c>
      <c r="E259" s="77" t="s">
        <v>1337</v>
      </c>
      <c r="F259" s="56" t="s">
        <v>105</v>
      </c>
      <c r="G259" s="56" t="s">
        <v>105</v>
      </c>
      <c r="H259" s="56" t="s">
        <v>105</v>
      </c>
      <c r="I259" s="56"/>
      <c r="J259" s="200"/>
      <c r="K259" s="84"/>
    </row>
    <row r="260" spans="1:11" ht="12.75" customHeight="1">
      <c r="A260" s="79">
        <v>1.95</v>
      </c>
      <c r="B260" s="75" t="s">
        <v>1021</v>
      </c>
      <c r="C260" s="92" t="s">
        <v>439</v>
      </c>
      <c r="D260" s="154" t="s">
        <v>812</v>
      </c>
      <c r="E260" s="77" t="s">
        <v>1020</v>
      </c>
      <c r="F260" s="56" t="s">
        <v>105</v>
      </c>
      <c r="G260" s="56" t="s">
        <v>105</v>
      </c>
      <c r="H260" s="56" t="s">
        <v>105</v>
      </c>
      <c r="I260" s="56"/>
      <c r="J260" s="200"/>
      <c r="K260" s="84"/>
    </row>
    <row r="261" spans="1:11" ht="13.5" customHeight="1">
      <c r="A261" s="79">
        <v>1.95</v>
      </c>
      <c r="B261" s="75" t="s">
        <v>394</v>
      </c>
      <c r="C261" s="92" t="s">
        <v>439</v>
      </c>
      <c r="D261" s="154" t="s">
        <v>812</v>
      </c>
      <c r="E261" s="77" t="s">
        <v>514</v>
      </c>
      <c r="F261" s="56" t="s">
        <v>105</v>
      </c>
      <c r="G261" s="56" t="s">
        <v>105</v>
      </c>
      <c r="H261" s="56" t="s">
        <v>105</v>
      </c>
      <c r="I261" s="56"/>
      <c r="J261" s="200"/>
      <c r="K261" s="84"/>
    </row>
    <row r="262" spans="1:11" ht="12.75" customHeight="1">
      <c r="A262" s="79">
        <v>1.95</v>
      </c>
      <c r="B262" s="75" t="s">
        <v>402</v>
      </c>
      <c r="C262" s="92" t="s">
        <v>439</v>
      </c>
      <c r="D262" s="154" t="s">
        <v>812</v>
      </c>
      <c r="E262" s="77" t="s">
        <v>520</v>
      </c>
      <c r="F262" s="56" t="s">
        <v>105</v>
      </c>
      <c r="G262" s="56" t="s">
        <v>105</v>
      </c>
      <c r="H262" s="56" t="s">
        <v>105</v>
      </c>
      <c r="I262" s="56"/>
      <c r="J262" s="200"/>
      <c r="K262" s="84"/>
    </row>
    <row r="263" spans="1:11" ht="12.75" customHeight="1">
      <c r="A263" s="79">
        <v>1.95</v>
      </c>
      <c r="B263" s="75" t="s">
        <v>404</v>
      </c>
      <c r="C263" s="92" t="s">
        <v>439</v>
      </c>
      <c r="D263" s="154" t="s">
        <v>812</v>
      </c>
      <c r="E263" s="77" t="s">
        <v>522</v>
      </c>
      <c r="F263" s="56" t="s">
        <v>105</v>
      </c>
      <c r="G263" s="56" t="s">
        <v>105</v>
      </c>
      <c r="H263" s="56" t="s">
        <v>105</v>
      </c>
      <c r="I263" s="56"/>
      <c r="J263" s="200"/>
      <c r="K263" s="84" t="s">
        <v>105</v>
      </c>
    </row>
    <row r="264" spans="1:11" ht="12.75" customHeight="1">
      <c r="A264" s="79">
        <v>1.95</v>
      </c>
      <c r="B264" s="75" t="s">
        <v>405</v>
      </c>
      <c r="C264" s="92" t="s">
        <v>439</v>
      </c>
      <c r="D264" s="154" t="s">
        <v>812</v>
      </c>
      <c r="E264" s="77" t="s">
        <v>523</v>
      </c>
      <c r="F264" s="56" t="s">
        <v>105</v>
      </c>
      <c r="G264" s="56" t="s">
        <v>105</v>
      </c>
      <c r="H264" s="56" t="s">
        <v>105</v>
      </c>
      <c r="I264" s="56"/>
      <c r="J264" s="200"/>
      <c r="K264" s="84"/>
    </row>
    <row r="265" spans="1:11" ht="12.75" customHeight="1">
      <c r="A265" s="79">
        <v>1.95</v>
      </c>
      <c r="B265" s="75" t="s">
        <v>406</v>
      </c>
      <c r="C265" s="92" t="s">
        <v>439</v>
      </c>
      <c r="D265" s="154" t="s">
        <v>812</v>
      </c>
      <c r="E265" s="77" t="s">
        <v>524</v>
      </c>
      <c r="F265" s="56" t="s">
        <v>105</v>
      </c>
      <c r="G265" s="56" t="s">
        <v>105</v>
      </c>
      <c r="H265" s="56" t="s">
        <v>105</v>
      </c>
      <c r="I265" s="56"/>
      <c r="J265" s="200"/>
      <c r="K265" s="84"/>
    </row>
    <row r="266" spans="1:11" ht="12.75" customHeight="1">
      <c r="A266" s="79">
        <v>1.95</v>
      </c>
      <c r="B266" s="75" t="s">
        <v>407</v>
      </c>
      <c r="C266" s="92" t="s">
        <v>439</v>
      </c>
      <c r="D266" s="154" t="s">
        <v>812</v>
      </c>
      <c r="E266" s="77" t="s">
        <v>646</v>
      </c>
      <c r="F266" s="56" t="s">
        <v>105</v>
      </c>
      <c r="G266" s="56" t="s">
        <v>105</v>
      </c>
      <c r="H266" s="56" t="s">
        <v>105</v>
      </c>
      <c r="I266" s="56"/>
      <c r="J266" s="200"/>
      <c r="K266" s="84"/>
    </row>
    <row r="267" spans="1:12" s="42" customFormat="1" ht="12.75" customHeight="1">
      <c r="A267" s="79">
        <v>1.95</v>
      </c>
      <c r="B267" s="75" t="s">
        <v>408</v>
      </c>
      <c r="C267" s="92" t="s">
        <v>439</v>
      </c>
      <c r="D267" s="154" t="s">
        <v>812</v>
      </c>
      <c r="E267" s="77" t="s">
        <v>525</v>
      </c>
      <c r="F267" s="56" t="s">
        <v>105</v>
      </c>
      <c r="G267" s="56" t="s">
        <v>105</v>
      </c>
      <c r="H267" s="56" t="s">
        <v>105</v>
      </c>
      <c r="I267" s="56"/>
      <c r="J267" s="200"/>
      <c r="K267" s="84"/>
      <c r="L267" s="253"/>
    </row>
    <row r="268" spans="1:11" ht="12.75" customHeight="1">
      <c r="A268" s="79">
        <v>1.95</v>
      </c>
      <c r="B268" s="75" t="s">
        <v>409</v>
      </c>
      <c r="C268" s="92" t="s">
        <v>439</v>
      </c>
      <c r="D268" s="154" t="s">
        <v>812</v>
      </c>
      <c r="E268" s="77" t="s">
        <v>526</v>
      </c>
      <c r="F268" s="56" t="s">
        <v>105</v>
      </c>
      <c r="G268" s="56" t="s">
        <v>105</v>
      </c>
      <c r="H268" s="56" t="s">
        <v>105</v>
      </c>
      <c r="I268" s="56"/>
      <c r="J268" s="200"/>
      <c r="K268" s="84"/>
    </row>
    <row r="269" spans="1:12" s="42" customFormat="1" ht="12.75" customHeight="1" thickBot="1">
      <c r="A269" s="79">
        <v>1.95</v>
      </c>
      <c r="B269" s="75" t="s">
        <v>410</v>
      </c>
      <c r="C269" s="92" t="s">
        <v>439</v>
      </c>
      <c r="D269" s="154" t="s">
        <v>812</v>
      </c>
      <c r="E269" s="77" t="s">
        <v>527</v>
      </c>
      <c r="F269" s="56" t="s">
        <v>105</v>
      </c>
      <c r="G269" s="56" t="s">
        <v>105</v>
      </c>
      <c r="H269" s="56" t="s">
        <v>105</v>
      </c>
      <c r="I269" s="56"/>
      <c r="J269" s="200"/>
      <c r="K269" s="84"/>
      <c r="L269" s="253"/>
    </row>
    <row r="270" spans="1:11" ht="21" thickBot="1">
      <c r="A270" s="271" t="s">
        <v>1622</v>
      </c>
      <c r="B270" s="272"/>
      <c r="C270" s="194">
        <f>SUBTOTAL(3,D271:D308)</f>
        <v>38</v>
      </c>
      <c r="D270" s="287" t="s">
        <v>813</v>
      </c>
      <c r="E270" s="288"/>
      <c r="F270" s="288"/>
      <c r="G270" s="288"/>
      <c r="H270" s="288"/>
      <c r="I270" s="288"/>
      <c r="J270" s="288"/>
      <c r="K270" s="289"/>
    </row>
    <row r="271" spans="1:11" ht="12.75" customHeight="1">
      <c r="A271" s="79">
        <v>1.81</v>
      </c>
      <c r="B271" s="75" t="s">
        <v>857</v>
      </c>
      <c r="C271" s="92" t="s">
        <v>855</v>
      </c>
      <c r="D271" s="154" t="s">
        <v>814</v>
      </c>
      <c r="E271" s="77" t="s">
        <v>856</v>
      </c>
      <c r="F271" s="56" t="s">
        <v>105</v>
      </c>
      <c r="G271" s="56" t="s">
        <v>105</v>
      </c>
      <c r="H271" s="56" t="s">
        <v>105</v>
      </c>
      <c r="I271" s="56"/>
      <c r="J271" s="200"/>
      <c r="K271" s="84"/>
    </row>
    <row r="272" spans="1:11" ht="12.75" customHeight="1">
      <c r="A272" s="79">
        <v>1.173</v>
      </c>
      <c r="B272" s="75" t="s">
        <v>1245</v>
      </c>
      <c r="C272" s="92" t="s">
        <v>1238</v>
      </c>
      <c r="D272" s="154" t="s">
        <v>814</v>
      </c>
      <c r="E272" s="77" t="s">
        <v>1247</v>
      </c>
      <c r="F272" s="56" t="s">
        <v>105</v>
      </c>
      <c r="G272" s="56" t="s">
        <v>105</v>
      </c>
      <c r="H272" s="56" t="s">
        <v>105</v>
      </c>
      <c r="I272" s="56"/>
      <c r="J272" s="200"/>
      <c r="K272" s="84"/>
    </row>
    <row r="273" spans="1:11" ht="12.75" customHeight="1">
      <c r="A273" s="79">
        <v>1.173</v>
      </c>
      <c r="B273" s="75" t="s">
        <v>1246</v>
      </c>
      <c r="C273" s="92" t="s">
        <v>1238</v>
      </c>
      <c r="D273" s="154" t="s">
        <v>814</v>
      </c>
      <c r="E273" s="77" t="s">
        <v>1248</v>
      </c>
      <c r="F273" s="56" t="s">
        <v>105</v>
      </c>
      <c r="G273" s="56" t="s">
        <v>105</v>
      </c>
      <c r="H273" s="56" t="s">
        <v>105</v>
      </c>
      <c r="I273" s="56"/>
      <c r="J273" s="200"/>
      <c r="K273" s="84"/>
    </row>
    <row r="274" spans="1:11" ht="12.75" customHeight="1">
      <c r="A274" s="79">
        <v>1.193</v>
      </c>
      <c r="B274" s="75" t="s">
        <v>1263</v>
      </c>
      <c r="C274" s="92" t="s">
        <v>1262</v>
      </c>
      <c r="D274" s="154" t="s">
        <v>814</v>
      </c>
      <c r="E274" s="77" t="s">
        <v>1449</v>
      </c>
      <c r="F274" s="56" t="s">
        <v>105</v>
      </c>
      <c r="G274" s="56" t="s">
        <v>105</v>
      </c>
      <c r="H274" s="56" t="s">
        <v>105</v>
      </c>
      <c r="I274" s="56"/>
      <c r="J274" s="200"/>
      <c r="K274" s="84"/>
    </row>
    <row r="275" spans="1:11" ht="12.75" customHeight="1">
      <c r="A275" s="79">
        <v>1.116</v>
      </c>
      <c r="B275" s="75" t="s">
        <v>1281</v>
      </c>
      <c r="C275" s="92" t="s">
        <v>1282</v>
      </c>
      <c r="D275" s="154" t="s">
        <v>814</v>
      </c>
      <c r="E275" s="77" t="s">
        <v>1283</v>
      </c>
      <c r="F275" s="56" t="s">
        <v>105</v>
      </c>
      <c r="G275" s="56" t="s">
        <v>105</v>
      </c>
      <c r="H275" s="56" t="s">
        <v>105</v>
      </c>
      <c r="I275" s="56"/>
      <c r="J275" s="200"/>
      <c r="K275" s="84"/>
    </row>
    <row r="276" spans="1:11" ht="12.75" customHeight="1">
      <c r="A276" s="79">
        <v>1.95</v>
      </c>
      <c r="B276" s="75" t="s">
        <v>1012</v>
      </c>
      <c r="C276" s="92" t="s">
        <v>439</v>
      </c>
      <c r="D276" s="154" t="s">
        <v>814</v>
      </c>
      <c r="E276" s="77" t="s">
        <v>1013</v>
      </c>
      <c r="F276" s="56"/>
      <c r="G276" s="56"/>
      <c r="H276" s="56"/>
      <c r="I276" s="56"/>
      <c r="J276" s="200"/>
      <c r="K276" s="84" t="s">
        <v>105</v>
      </c>
    </row>
    <row r="277" spans="1:11" ht="12.75" customHeight="1">
      <c r="A277" s="79">
        <v>1.95</v>
      </c>
      <c r="B277" s="75" t="s">
        <v>849</v>
      </c>
      <c r="C277" s="92" t="s">
        <v>439</v>
      </c>
      <c r="D277" s="154" t="s">
        <v>814</v>
      </c>
      <c r="E277" s="77" t="s">
        <v>848</v>
      </c>
      <c r="F277" s="56" t="s">
        <v>105</v>
      </c>
      <c r="G277" s="56" t="s">
        <v>105</v>
      </c>
      <c r="H277" s="56" t="s">
        <v>105</v>
      </c>
      <c r="I277" s="56"/>
      <c r="J277" s="200"/>
      <c r="K277" s="84"/>
    </row>
    <row r="278" spans="1:11" ht="12.75" customHeight="1">
      <c r="A278" s="79">
        <v>1.95</v>
      </c>
      <c r="B278" s="75" t="s">
        <v>843</v>
      </c>
      <c r="C278" s="92" t="s">
        <v>439</v>
      </c>
      <c r="D278" s="154" t="s">
        <v>814</v>
      </c>
      <c r="E278" s="77" t="s">
        <v>842</v>
      </c>
      <c r="F278" s="56" t="s">
        <v>105</v>
      </c>
      <c r="G278" s="56" t="s">
        <v>105</v>
      </c>
      <c r="H278" s="56" t="s">
        <v>105</v>
      </c>
      <c r="I278" s="56"/>
      <c r="J278" s="200"/>
      <c r="K278" s="84"/>
    </row>
    <row r="279" spans="1:12" s="42" customFormat="1" ht="12.75" customHeight="1">
      <c r="A279" s="79">
        <v>1.95</v>
      </c>
      <c r="B279" s="75" t="s">
        <v>793</v>
      </c>
      <c r="C279" s="92" t="s">
        <v>439</v>
      </c>
      <c r="D279" s="154" t="s">
        <v>814</v>
      </c>
      <c r="E279" s="77" t="s">
        <v>794</v>
      </c>
      <c r="F279" s="56" t="s">
        <v>105</v>
      </c>
      <c r="G279" s="56" t="s">
        <v>105</v>
      </c>
      <c r="H279" s="56" t="s">
        <v>105</v>
      </c>
      <c r="I279" s="56"/>
      <c r="J279" s="200"/>
      <c r="K279" s="84" t="s">
        <v>105</v>
      </c>
      <c r="L279" s="253"/>
    </row>
    <row r="280" spans="1:11" ht="12.75" customHeight="1">
      <c r="A280" s="79">
        <v>1.95</v>
      </c>
      <c r="B280" s="75" t="s">
        <v>403</v>
      </c>
      <c r="C280" s="92" t="s">
        <v>439</v>
      </c>
      <c r="D280" s="154" t="s">
        <v>814</v>
      </c>
      <c r="E280" s="77" t="s">
        <v>521</v>
      </c>
      <c r="F280" s="56" t="s">
        <v>105</v>
      </c>
      <c r="G280" s="56" t="s">
        <v>105</v>
      </c>
      <c r="H280" s="56" t="s">
        <v>105</v>
      </c>
      <c r="I280" s="56"/>
      <c r="J280" s="200"/>
      <c r="K280" s="84" t="s">
        <v>105</v>
      </c>
    </row>
    <row r="281" spans="1:11" ht="12.75" customHeight="1">
      <c r="A281" s="79">
        <v>1.95</v>
      </c>
      <c r="B281" s="75" t="s">
        <v>411</v>
      </c>
      <c r="C281" s="92" t="s">
        <v>439</v>
      </c>
      <c r="D281" s="154" t="s">
        <v>814</v>
      </c>
      <c r="E281" s="77" t="s">
        <v>528</v>
      </c>
      <c r="F281" s="56" t="s">
        <v>105</v>
      </c>
      <c r="G281" s="56" t="s">
        <v>105</v>
      </c>
      <c r="H281" s="56" t="s">
        <v>105</v>
      </c>
      <c r="I281" s="56"/>
      <c r="J281" s="200"/>
      <c r="K281" s="84"/>
    </row>
    <row r="282" spans="1:11" ht="12.75" customHeight="1">
      <c r="A282" s="79">
        <v>1.95</v>
      </c>
      <c r="B282" s="75" t="s">
        <v>680</v>
      </c>
      <c r="C282" s="92" t="s">
        <v>439</v>
      </c>
      <c r="D282" s="154" t="s">
        <v>814</v>
      </c>
      <c r="E282" s="77" t="s">
        <v>679</v>
      </c>
      <c r="F282" s="56" t="s">
        <v>105</v>
      </c>
      <c r="G282" s="56" t="s">
        <v>105</v>
      </c>
      <c r="H282" s="56" t="s">
        <v>105</v>
      </c>
      <c r="I282" s="56"/>
      <c r="J282" s="200"/>
      <c r="K282" s="84"/>
    </row>
    <row r="283" spans="1:11" ht="12.75" customHeight="1">
      <c r="A283" s="79">
        <v>1.95</v>
      </c>
      <c r="B283" s="75" t="s">
        <v>859</v>
      </c>
      <c r="C283" s="92" t="s">
        <v>439</v>
      </c>
      <c r="D283" s="154" t="s">
        <v>814</v>
      </c>
      <c r="E283" s="77" t="s">
        <v>858</v>
      </c>
      <c r="F283" s="56" t="s">
        <v>105</v>
      </c>
      <c r="G283" s="56" t="s">
        <v>105</v>
      </c>
      <c r="H283" s="56" t="s">
        <v>105</v>
      </c>
      <c r="I283" s="56"/>
      <c r="J283" s="200"/>
      <c r="K283" s="84"/>
    </row>
    <row r="284" spans="1:11" ht="12.75" customHeight="1">
      <c r="A284" s="79">
        <v>1.95</v>
      </c>
      <c r="B284" s="75" t="s">
        <v>837</v>
      </c>
      <c r="C284" s="92" t="s">
        <v>439</v>
      </c>
      <c r="D284" s="154" t="s">
        <v>814</v>
      </c>
      <c r="E284" s="77" t="s">
        <v>836</v>
      </c>
      <c r="F284" s="56" t="s">
        <v>105</v>
      </c>
      <c r="G284" s="56" t="s">
        <v>105</v>
      </c>
      <c r="H284" s="56" t="s">
        <v>105</v>
      </c>
      <c r="I284" s="56"/>
      <c r="J284" s="200"/>
      <c r="K284" s="84"/>
    </row>
    <row r="285" spans="1:11" ht="12.75" customHeight="1">
      <c r="A285" s="79">
        <v>1.95</v>
      </c>
      <c r="B285" s="75" t="s">
        <v>861</v>
      </c>
      <c r="C285" s="92" t="s">
        <v>439</v>
      </c>
      <c r="D285" s="154" t="s">
        <v>814</v>
      </c>
      <c r="E285" s="77" t="s">
        <v>862</v>
      </c>
      <c r="F285" s="56" t="s">
        <v>105</v>
      </c>
      <c r="G285" s="56" t="s">
        <v>105</v>
      </c>
      <c r="H285" s="56" t="s">
        <v>105</v>
      </c>
      <c r="I285" s="56"/>
      <c r="J285" s="200"/>
      <c r="K285" s="84"/>
    </row>
    <row r="286" spans="1:11" ht="12.75" customHeight="1">
      <c r="A286" s="79">
        <v>1.95</v>
      </c>
      <c r="B286" s="75" t="s">
        <v>902</v>
      </c>
      <c r="C286" s="92" t="s">
        <v>439</v>
      </c>
      <c r="D286" s="154" t="s">
        <v>814</v>
      </c>
      <c r="E286" s="77" t="s">
        <v>903</v>
      </c>
      <c r="F286" s="56" t="s">
        <v>105</v>
      </c>
      <c r="G286" s="56" t="s">
        <v>105</v>
      </c>
      <c r="H286" s="56" t="s">
        <v>105</v>
      </c>
      <c r="I286" s="56"/>
      <c r="J286" s="200"/>
      <c r="K286" s="84"/>
    </row>
    <row r="287" spans="1:11" ht="12.75" customHeight="1">
      <c r="A287" s="79">
        <v>1.95</v>
      </c>
      <c r="B287" s="75" t="s">
        <v>908</v>
      </c>
      <c r="C287" s="92" t="s">
        <v>439</v>
      </c>
      <c r="D287" s="154" t="s">
        <v>814</v>
      </c>
      <c r="E287" s="77" t="s">
        <v>909</v>
      </c>
      <c r="F287" s="56" t="s">
        <v>105</v>
      </c>
      <c r="G287" s="56" t="s">
        <v>105</v>
      </c>
      <c r="H287" s="56" t="s">
        <v>105</v>
      </c>
      <c r="I287" s="56"/>
      <c r="J287" s="200"/>
      <c r="K287" s="84"/>
    </row>
    <row r="288" spans="1:11" ht="12.75" customHeight="1">
      <c r="A288" s="79">
        <v>1.95</v>
      </c>
      <c r="B288" s="75" t="s">
        <v>950</v>
      </c>
      <c r="C288" s="92" t="s">
        <v>439</v>
      </c>
      <c r="D288" s="154" t="s">
        <v>814</v>
      </c>
      <c r="E288" s="77" t="s">
        <v>951</v>
      </c>
      <c r="F288" s="56" t="s">
        <v>105</v>
      </c>
      <c r="G288" s="56" t="s">
        <v>105</v>
      </c>
      <c r="H288" s="56" t="s">
        <v>105</v>
      </c>
      <c r="I288" s="56"/>
      <c r="J288" s="200"/>
      <c r="K288" s="84"/>
    </row>
    <row r="289" spans="1:12" s="88" customFormat="1" ht="12.75" customHeight="1">
      <c r="A289" s="155">
        <v>1.194</v>
      </c>
      <c r="B289" s="133" t="s">
        <v>1011</v>
      </c>
      <c r="C289" s="134" t="s">
        <v>918</v>
      </c>
      <c r="D289" s="154" t="s">
        <v>814</v>
      </c>
      <c r="E289" s="135" t="s">
        <v>1450</v>
      </c>
      <c r="F289" s="56" t="s">
        <v>105</v>
      </c>
      <c r="G289" s="56" t="s">
        <v>105</v>
      </c>
      <c r="H289" s="56" t="s">
        <v>105</v>
      </c>
      <c r="I289" s="86"/>
      <c r="J289" s="203"/>
      <c r="K289" s="87"/>
      <c r="L289" s="256"/>
    </row>
    <row r="290" spans="1:12" s="88" customFormat="1" ht="12.75" customHeight="1">
      <c r="A290" s="155">
        <v>1.147</v>
      </c>
      <c r="B290" s="75" t="s">
        <v>956</v>
      </c>
      <c r="C290" s="92" t="s">
        <v>957</v>
      </c>
      <c r="D290" s="154" t="s">
        <v>814</v>
      </c>
      <c r="E290" s="77" t="s">
        <v>955</v>
      </c>
      <c r="F290" s="56" t="s">
        <v>105</v>
      </c>
      <c r="G290" s="56" t="s">
        <v>105</v>
      </c>
      <c r="H290" s="56" t="s">
        <v>105</v>
      </c>
      <c r="I290" s="86"/>
      <c r="J290" s="203"/>
      <c r="K290" s="87"/>
      <c r="L290" s="256"/>
    </row>
    <row r="291" spans="1:12" s="88" customFormat="1" ht="12.75" customHeight="1">
      <c r="A291" s="155">
        <v>2.392</v>
      </c>
      <c r="B291" s="75" t="s">
        <v>1406</v>
      </c>
      <c r="C291" s="92" t="s">
        <v>1374</v>
      </c>
      <c r="D291" s="154" t="s">
        <v>814</v>
      </c>
      <c r="E291" s="77" t="s">
        <v>1451</v>
      </c>
      <c r="F291" s="56" t="s">
        <v>105</v>
      </c>
      <c r="G291" s="56" t="s">
        <v>105</v>
      </c>
      <c r="H291" s="56" t="s">
        <v>105</v>
      </c>
      <c r="I291" s="86"/>
      <c r="J291" s="203"/>
      <c r="K291" s="87"/>
      <c r="L291" s="256"/>
    </row>
    <row r="292" spans="1:12" s="88" customFormat="1" ht="12.75" customHeight="1">
      <c r="A292" s="155">
        <v>1.195</v>
      </c>
      <c r="B292" s="75" t="s">
        <v>1402</v>
      </c>
      <c r="C292" s="92" t="s">
        <v>1237</v>
      </c>
      <c r="D292" s="154" t="s">
        <v>814</v>
      </c>
      <c r="E292" s="77" t="s">
        <v>1452</v>
      </c>
      <c r="F292" s="56" t="s">
        <v>105</v>
      </c>
      <c r="G292" s="56" t="s">
        <v>105</v>
      </c>
      <c r="H292" s="56" t="s">
        <v>105</v>
      </c>
      <c r="I292" s="86"/>
      <c r="J292" s="203"/>
      <c r="K292" s="87"/>
      <c r="L292" s="256"/>
    </row>
    <row r="293" spans="1:12" s="88" customFormat="1" ht="12.75" customHeight="1">
      <c r="A293" s="155">
        <v>1.123</v>
      </c>
      <c r="B293" s="75" t="s">
        <v>1047</v>
      </c>
      <c r="C293" s="92" t="s">
        <v>1046</v>
      </c>
      <c r="D293" s="154" t="s">
        <v>814</v>
      </c>
      <c r="E293" s="77" t="s">
        <v>1453</v>
      </c>
      <c r="F293" s="56" t="s">
        <v>105</v>
      </c>
      <c r="G293" s="56" t="s">
        <v>105</v>
      </c>
      <c r="H293" s="56" t="s">
        <v>105</v>
      </c>
      <c r="I293" s="86"/>
      <c r="J293" s="203"/>
      <c r="K293" s="87"/>
      <c r="L293" s="256"/>
    </row>
    <row r="294" spans="1:12" s="88" customFormat="1" ht="12.75" customHeight="1">
      <c r="A294" s="155">
        <v>1.111</v>
      </c>
      <c r="B294" s="75" t="s">
        <v>1684</v>
      </c>
      <c r="C294" s="92" t="s">
        <v>1685</v>
      </c>
      <c r="D294" s="154" t="s">
        <v>814</v>
      </c>
      <c r="E294" s="77" t="s">
        <v>1683</v>
      </c>
      <c r="F294" s="56" t="s">
        <v>105</v>
      </c>
      <c r="G294" s="56" t="s">
        <v>105</v>
      </c>
      <c r="H294" s="56" t="s">
        <v>105</v>
      </c>
      <c r="I294" s="86"/>
      <c r="J294" s="203"/>
      <c r="K294" s="87"/>
      <c r="L294" s="256"/>
    </row>
    <row r="295" spans="1:11" ht="12.75" customHeight="1">
      <c r="A295" s="79">
        <v>1.178</v>
      </c>
      <c r="B295" s="75" t="s">
        <v>366</v>
      </c>
      <c r="C295" s="134" t="s">
        <v>949</v>
      </c>
      <c r="D295" s="154" t="s">
        <v>814</v>
      </c>
      <c r="E295" s="77" t="s">
        <v>487</v>
      </c>
      <c r="F295" s="56" t="s">
        <v>105</v>
      </c>
      <c r="G295" s="56" t="s">
        <v>105</v>
      </c>
      <c r="H295" s="56" t="s">
        <v>105</v>
      </c>
      <c r="I295" s="56"/>
      <c r="J295" s="200"/>
      <c r="K295" s="84"/>
    </row>
    <row r="296" spans="1:11" ht="12.75" customHeight="1">
      <c r="A296" s="79">
        <v>1.85</v>
      </c>
      <c r="B296" s="75" t="s">
        <v>1737</v>
      </c>
      <c r="C296" s="92" t="s">
        <v>482</v>
      </c>
      <c r="D296" s="154" t="s">
        <v>814</v>
      </c>
      <c r="E296" s="77" t="s">
        <v>1736</v>
      </c>
      <c r="F296" s="56" t="s">
        <v>105</v>
      </c>
      <c r="G296" s="56" t="s">
        <v>105</v>
      </c>
      <c r="H296" s="56" t="s">
        <v>105</v>
      </c>
      <c r="I296" s="56"/>
      <c r="J296" s="200"/>
      <c r="K296" s="84"/>
    </row>
    <row r="297" spans="1:11" ht="12.75" customHeight="1">
      <c r="A297" s="79">
        <v>1.85</v>
      </c>
      <c r="B297" s="75" t="s">
        <v>375</v>
      </c>
      <c r="C297" s="92" t="s">
        <v>482</v>
      </c>
      <c r="D297" s="154" t="s">
        <v>814</v>
      </c>
      <c r="E297" s="77" t="s">
        <v>495</v>
      </c>
      <c r="F297" s="56" t="s">
        <v>105</v>
      </c>
      <c r="G297" s="56" t="s">
        <v>105</v>
      </c>
      <c r="H297" s="56" t="s">
        <v>105</v>
      </c>
      <c r="I297" s="56"/>
      <c r="J297" s="200"/>
      <c r="K297" s="84"/>
    </row>
    <row r="298" spans="1:12" s="42" customFormat="1" ht="12.75" customHeight="1">
      <c r="A298" s="79">
        <v>1.85</v>
      </c>
      <c r="B298" s="75" t="s">
        <v>376</v>
      </c>
      <c r="C298" s="92" t="s">
        <v>482</v>
      </c>
      <c r="D298" s="154" t="s">
        <v>814</v>
      </c>
      <c r="E298" s="77" t="s">
        <v>496</v>
      </c>
      <c r="F298" s="56" t="s">
        <v>105</v>
      </c>
      <c r="G298" s="56" t="s">
        <v>105</v>
      </c>
      <c r="H298" s="56" t="s">
        <v>105</v>
      </c>
      <c r="I298" s="56"/>
      <c r="J298" s="200"/>
      <c r="K298" s="84"/>
      <c r="L298" s="253"/>
    </row>
    <row r="299" spans="1:11" ht="12.75" customHeight="1">
      <c r="A299" s="79">
        <v>1.85</v>
      </c>
      <c r="B299" s="75" t="s">
        <v>377</v>
      </c>
      <c r="C299" s="92" t="s">
        <v>482</v>
      </c>
      <c r="D299" s="154" t="s">
        <v>814</v>
      </c>
      <c r="E299" s="77" t="s">
        <v>497</v>
      </c>
      <c r="F299" s="56" t="s">
        <v>105</v>
      </c>
      <c r="G299" s="56" t="s">
        <v>105</v>
      </c>
      <c r="H299" s="56" t="s">
        <v>105</v>
      </c>
      <c r="I299" s="56"/>
      <c r="J299" s="200"/>
      <c r="K299" s="84"/>
    </row>
    <row r="300" spans="1:11" ht="12.75" customHeight="1">
      <c r="A300" s="79">
        <v>1.85</v>
      </c>
      <c r="B300" s="75" t="s">
        <v>378</v>
      </c>
      <c r="C300" s="92" t="s">
        <v>482</v>
      </c>
      <c r="D300" s="154" t="s">
        <v>814</v>
      </c>
      <c r="E300" s="77" t="s">
        <v>498</v>
      </c>
      <c r="F300" s="56" t="s">
        <v>105</v>
      </c>
      <c r="G300" s="56" t="s">
        <v>105</v>
      </c>
      <c r="H300" s="56" t="s">
        <v>105</v>
      </c>
      <c r="I300" s="56"/>
      <c r="J300" s="200"/>
      <c r="K300" s="84"/>
    </row>
    <row r="301" spans="1:11" ht="12.75" customHeight="1">
      <c r="A301" s="79">
        <v>1.85</v>
      </c>
      <c r="B301" s="75" t="s">
        <v>379</v>
      </c>
      <c r="C301" s="92" t="s">
        <v>482</v>
      </c>
      <c r="D301" s="154" t="s">
        <v>814</v>
      </c>
      <c r="E301" s="77" t="s">
        <v>499</v>
      </c>
      <c r="F301" s="56" t="s">
        <v>105</v>
      </c>
      <c r="G301" s="56" t="s">
        <v>105</v>
      </c>
      <c r="H301" s="56" t="s">
        <v>105</v>
      </c>
      <c r="I301" s="56"/>
      <c r="J301" s="200"/>
      <c r="K301" s="84"/>
    </row>
    <row r="302" spans="1:11" ht="12.75" customHeight="1">
      <c r="A302" s="79">
        <v>1.85</v>
      </c>
      <c r="B302" s="75" t="s">
        <v>380</v>
      </c>
      <c r="C302" s="92" t="s">
        <v>482</v>
      </c>
      <c r="D302" s="154" t="s">
        <v>814</v>
      </c>
      <c r="E302" s="77" t="s">
        <v>500</v>
      </c>
      <c r="F302" s="56" t="s">
        <v>105</v>
      </c>
      <c r="G302" s="56" t="s">
        <v>105</v>
      </c>
      <c r="H302" s="56" t="s">
        <v>105</v>
      </c>
      <c r="I302" s="56"/>
      <c r="J302" s="200"/>
      <c r="K302" s="84"/>
    </row>
    <row r="303" spans="1:11" ht="12.75" customHeight="1">
      <c r="A303" s="79">
        <v>1.85</v>
      </c>
      <c r="B303" s="75" t="s">
        <v>1007</v>
      </c>
      <c r="C303" s="92" t="s">
        <v>482</v>
      </c>
      <c r="D303" s="154" t="s">
        <v>814</v>
      </c>
      <c r="E303" s="77" t="s">
        <v>1008</v>
      </c>
      <c r="F303" s="56" t="s">
        <v>105</v>
      </c>
      <c r="G303" s="56" t="s">
        <v>105</v>
      </c>
      <c r="H303" s="56" t="s">
        <v>105</v>
      </c>
      <c r="I303" s="56"/>
      <c r="J303" s="200"/>
      <c r="K303" s="84"/>
    </row>
    <row r="304" spans="1:11" ht="12.75" customHeight="1">
      <c r="A304" s="79">
        <v>1.85</v>
      </c>
      <c r="B304" s="75" t="s">
        <v>1063</v>
      </c>
      <c r="C304" s="92" t="s">
        <v>482</v>
      </c>
      <c r="D304" s="154" t="s">
        <v>814</v>
      </c>
      <c r="E304" s="77" t="s">
        <v>1062</v>
      </c>
      <c r="F304" s="56" t="s">
        <v>105</v>
      </c>
      <c r="G304" s="56" t="s">
        <v>105</v>
      </c>
      <c r="H304" s="56" t="s">
        <v>105</v>
      </c>
      <c r="I304" s="56"/>
      <c r="J304" s="200"/>
      <c r="K304" s="84"/>
    </row>
    <row r="305" spans="1:11" ht="12.75" customHeight="1">
      <c r="A305" s="79">
        <v>1.85</v>
      </c>
      <c r="B305" s="75" t="s">
        <v>1065</v>
      </c>
      <c r="C305" s="92" t="s">
        <v>482</v>
      </c>
      <c r="D305" s="154" t="s">
        <v>814</v>
      </c>
      <c r="E305" s="77" t="s">
        <v>1066</v>
      </c>
      <c r="F305" s="56" t="s">
        <v>105</v>
      </c>
      <c r="G305" s="56" t="s">
        <v>105</v>
      </c>
      <c r="H305" s="56" t="s">
        <v>105</v>
      </c>
      <c r="I305" s="56"/>
      <c r="J305" s="200"/>
      <c r="K305" s="84"/>
    </row>
    <row r="306" spans="1:11" ht="12.75" customHeight="1">
      <c r="A306" s="79">
        <v>1.42</v>
      </c>
      <c r="B306" s="75" t="s">
        <v>1604</v>
      </c>
      <c r="C306" s="134" t="s">
        <v>435</v>
      </c>
      <c r="D306" s="154" t="s">
        <v>814</v>
      </c>
      <c r="E306" s="77" t="s">
        <v>1603</v>
      </c>
      <c r="F306" s="56" t="s">
        <v>105</v>
      </c>
      <c r="G306" s="56" t="s">
        <v>105</v>
      </c>
      <c r="H306" s="56" t="s">
        <v>105</v>
      </c>
      <c r="I306" s="56"/>
      <c r="J306" s="200"/>
      <c r="K306" s="84" t="s">
        <v>105</v>
      </c>
    </row>
    <row r="307" spans="1:12" s="42" customFormat="1" ht="12.75" customHeight="1">
      <c r="A307" s="132">
        <v>1.42</v>
      </c>
      <c r="B307" s="133" t="s">
        <v>414</v>
      </c>
      <c r="C307" s="134" t="s">
        <v>435</v>
      </c>
      <c r="D307" s="154" t="s">
        <v>814</v>
      </c>
      <c r="E307" s="135" t="s">
        <v>647</v>
      </c>
      <c r="F307" s="56" t="s">
        <v>105</v>
      </c>
      <c r="G307" s="56" t="s">
        <v>105</v>
      </c>
      <c r="H307" s="56" t="s">
        <v>105</v>
      </c>
      <c r="I307" s="56"/>
      <c r="J307" s="200"/>
      <c r="K307" s="84" t="s">
        <v>105</v>
      </c>
      <c r="L307" s="253"/>
    </row>
    <row r="308" spans="1:12" s="42" customFormat="1" ht="12.75" customHeight="1" thickBot="1">
      <c r="A308" s="132">
        <v>1.42</v>
      </c>
      <c r="B308" s="133" t="s">
        <v>1071</v>
      </c>
      <c r="C308" s="134" t="s">
        <v>435</v>
      </c>
      <c r="D308" s="154" t="s">
        <v>814</v>
      </c>
      <c r="E308" s="135" t="s">
        <v>1072</v>
      </c>
      <c r="F308" s="56" t="s">
        <v>105</v>
      </c>
      <c r="G308" s="56" t="s">
        <v>105</v>
      </c>
      <c r="H308" s="56" t="s">
        <v>105</v>
      </c>
      <c r="I308" s="56"/>
      <c r="J308" s="200"/>
      <c r="K308" s="84" t="s">
        <v>105</v>
      </c>
      <c r="L308" s="253"/>
    </row>
    <row r="309" spans="1:11" ht="21" thickBot="1">
      <c r="A309" s="271" t="s">
        <v>1622</v>
      </c>
      <c r="B309" s="272"/>
      <c r="C309" s="194">
        <f>SUBTOTAL(3,D310:D359)</f>
        <v>50</v>
      </c>
      <c r="D309" s="287" t="s">
        <v>815</v>
      </c>
      <c r="E309" s="288"/>
      <c r="F309" s="288"/>
      <c r="G309" s="288"/>
      <c r="H309" s="288"/>
      <c r="I309" s="288"/>
      <c r="J309" s="288"/>
      <c r="K309" s="289"/>
    </row>
    <row r="310" spans="1:11" ht="12.75" customHeight="1">
      <c r="A310" s="127">
        <v>1.195</v>
      </c>
      <c r="B310" s="75" t="s">
        <v>1400</v>
      </c>
      <c r="C310" s="92" t="s">
        <v>1237</v>
      </c>
      <c r="D310" s="154" t="s">
        <v>816</v>
      </c>
      <c r="E310" s="77" t="s">
        <v>1403</v>
      </c>
      <c r="F310" s="56" t="s">
        <v>105</v>
      </c>
      <c r="G310" s="56" t="s">
        <v>105</v>
      </c>
      <c r="H310" s="56" t="s">
        <v>105</v>
      </c>
      <c r="I310" s="56"/>
      <c r="J310" s="200"/>
      <c r="K310" s="84"/>
    </row>
    <row r="311" spans="1:11" ht="12.75" customHeight="1">
      <c r="A311" s="127">
        <v>1.195</v>
      </c>
      <c r="B311" s="75" t="s">
        <v>1401</v>
      </c>
      <c r="C311" s="92" t="s">
        <v>1237</v>
      </c>
      <c r="D311" s="154" t="s">
        <v>816</v>
      </c>
      <c r="E311" s="77" t="s">
        <v>1404</v>
      </c>
      <c r="F311" s="56" t="s">
        <v>105</v>
      </c>
      <c r="G311" s="56" t="s">
        <v>105</v>
      </c>
      <c r="H311" s="56" t="s">
        <v>105</v>
      </c>
      <c r="I311" s="56"/>
      <c r="J311" s="200"/>
      <c r="K311" s="84"/>
    </row>
    <row r="312" spans="1:11" ht="12.75" customHeight="1">
      <c r="A312" s="127">
        <v>1.195</v>
      </c>
      <c r="B312" s="75" t="s">
        <v>1421</v>
      </c>
      <c r="C312" s="92" t="s">
        <v>1237</v>
      </c>
      <c r="D312" s="154" t="s">
        <v>816</v>
      </c>
      <c r="E312" s="77" t="s">
        <v>1454</v>
      </c>
      <c r="F312" s="56" t="s">
        <v>105</v>
      </c>
      <c r="G312" s="56" t="s">
        <v>105</v>
      </c>
      <c r="H312" s="56" t="s">
        <v>105</v>
      </c>
      <c r="I312" s="56"/>
      <c r="J312" s="200"/>
      <c r="K312" s="84"/>
    </row>
    <row r="313" spans="1:11" ht="12.75" customHeight="1">
      <c r="A313" s="217">
        <v>1.75</v>
      </c>
      <c r="B313" s="75" t="s">
        <v>1595</v>
      </c>
      <c r="C313" s="92" t="s">
        <v>1596</v>
      </c>
      <c r="D313" s="154" t="s">
        <v>816</v>
      </c>
      <c r="E313" s="77" t="s">
        <v>1594</v>
      </c>
      <c r="F313" s="56" t="s">
        <v>105</v>
      </c>
      <c r="G313" s="56" t="s">
        <v>105</v>
      </c>
      <c r="H313" s="56" t="s">
        <v>105</v>
      </c>
      <c r="I313" s="56"/>
      <c r="J313" s="200"/>
      <c r="K313" s="84"/>
    </row>
    <row r="314" spans="1:11" ht="12.75" customHeight="1">
      <c r="A314" s="217">
        <v>1.75</v>
      </c>
      <c r="B314" s="75" t="s">
        <v>1598</v>
      </c>
      <c r="C314" s="92" t="s">
        <v>1596</v>
      </c>
      <c r="D314" s="154" t="s">
        <v>816</v>
      </c>
      <c r="E314" s="77" t="s">
        <v>1597</v>
      </c>
      <c r="F314" s="56" t="s">
        <v>105</v>
      </c>
      <c r="G314" s="56" t="s">
        <v>105</v>
      </c>
      <c r="H314" s="56" t="s">
        <v>105</v>
      </c>
      <c r="I314" s="56"/>
      <c r="J314" s="200"/>
      <c r="K314" s="84"/>
    </row>
    <row r="315" spans="1:11" ht="13.5" customHeight="1">
      <c r="A315" s="79">
        <v>1.95</v>
      </c>
      <c r="B315" s="75" t="s">
        <v>387</v>
      </c>
      <c r="C315" s="92" t="s">
        <v>439</v>
      </c>
      <c r="D315" s="154" t="s">
        <v>816</v>
      </c>
      <c r="E315" s="77" t="s">
        <v>507</v>
      </c>
      <c r="F315" s="56" t="s">
        <v>105</v>
      </c>
      <c r="G315" s="56" t="s">
        <v>105</v>
      </c>
      <c r="H315" s="56" t="s">
        <v>105</v>
      </c>
      <c r="I315" s="56"/>
      <c r="J315" s="200"/>
      <c r="K315" s="84"/>
    </row>
    <row r="316" spans="1:11" ht="12.75" customHeight="1">
      <c r="A316" s="79">
        <v>1.95</v>
      </c>
      <c r="B316" s="75" t="s">
        <v>395</v>
      </c>
      <c r="C316" s="92" t="s">
        <v>439</v>
      </c>
      <c r="D316" s="154" t="s">
        <v>816</v>
      </c>
      <c r="E316" s="77" t="s">
        <v>515</v>
      </c>
      <c r="F316" s="56" t="s">
        <v>105</v>
      </c>
      <c r="G316" s="56" t="s">
        <v>105</v>
      </c>
      <c r="H316" s="56" t="s">
        <v>105</v>
      </c>
      <c r="I316" s="56"/>
      <c r="J316" s="200"/>
      <c r="K316" s="84"/>
    </row>
    <row r="317" spans="1:11" ht="12.75" customHeight="1">
      <c r="A317" s="79">
        <v>1.95</v>
      </c>
      <c r="B317" s="75" t="s">
        <v>396</v>
      </c>
      <c r="C317" s="92" t="s">
        <v>439</v>
      </c>
      <c r="D317" s="154" t="s">
        <v>816</v>
      </c>
      <c r="E317" s="77" t="s">
        <v>516</v>
      </c>
      <c r="F317" s="56" t="s">
        <v>105</v>
      </c>
      <c r="G317" s="56" t="s">
        <v>105</v>
      </c>
      <c r="H317" s="56" t="s">
        <v>105</v>
      </c>
      <c r="I317" s="56"/>
      <c r="J317" s="200"/>
      <c r="K317" s="84"/>
    </row>
    <row r="318" spans="1:11" ht="12.75" customHeight="1">
      <c r="A318" s="79">
        <v>1.95</v>
      </c>
      <c r="B318" s="75" t="s">
        <v>931</v>
      </c>
      <c r="C318" s="92" t="s">
        <v>439</v>
      </c>
      <c r="D318" s="154" t="s">
        <v>816</v>
      </c>
      <c r="E318" s="77" t="s">
        <v>1378</v>
      </c>
      <c r="F318" s="56" t="s">
        <v>105</v>
      </c>
      <c r="G318" s="56" t="s">
        <v>105</v>
      </c>
      <c r="H318" s="56" t="s">
        <v>105</v>
      </c>
      <c r="I318" s="56"/>
      <c r="J318" s="200"/>
      <c r="K318" s="84"/>
    </row>
    <row r="319" spans="1:11" ht="12.75" customHeight="1">
      <c r="A319" s="79">
        <v>1.95</v>
      </c>
      <c r="B319" s="75" t="s">
        <v>1377</v>
      </c>
      <c r="C319" s="92" t="s">
        <v>439</v>
      </c>
      <c r="D319" s="154" t="s">
        <v>816</v>
      </c>
      <c r="E319" s="77" t="s">
        <v>1379</v>
      </c>
      <c r="F319" s="56" t="s">
        <v>105</v>
      </c>
      <c r="G319" s="56" t="s">
        <v>105</v>
      </c>
      <c r="H319" s="56" t="s">
        <v>105</v>
      </c>
      <c r="I319" s="56"/>
      <c r="J319" s="200"/>
      <c r="K319" s="84"/>
    </row>
    <row r="320" spans="1:11" ht="12.75" customHeight="1">
      <c r="A320" s="79">
        <v>1.51</v>
      </c>
      <c r="B320" s="75" t="s">
        <v>999</v>
      </c>
      <c r="C320" s="92" t="s">
        <v>998</v>
      </c>
      <c r="D320" s="154" t="s">
        <v>816</v>
      </c>
      <c r="E320" s="77" t="s">
        <v>1000</v>
      </c>
      <c r="F320" s="56" t="s">
        <v>105</v>
      </c>
      <c r="G320" s="56" t="s">
        <v>105</v>
      </c>
      <c r="H320" s="56" t="s">
        <v>105</v>
      </c>
      <c r="I320" s="56"/>
      <c r="J320" s="200"/>
      <c r="K320" s="84"/>
    </row>
    <row r="321" spans="1:11" ht="12.75" customHeight="1">
      <c r="A321" s="79">
        <v>1.77</v>
      </c>
      <c r="B321" s="75" t="s">
        <v>1260</v>
      </c>
      <c r="C321" s="92" t="s">
        <v>1259</v>
      </c>
      <c r="D321" s="154" t="s">
        <v>816</v>
      </c>
      <c r="E321" s="77" t="s">
        <v>1261</v>
      </c>
      <c r="F321" s="56" t="s">
        <v>105</v>
      </c>
      <c r="G321" s="56" t="s">
        <v>105</v>
      </c>
      <c r="H321" s="56" t="s">
        <v>105</v>
      </c>
      <c r="I321" s="56"/>
      <c r="J321" s="200"/>
      <c r="K321" s="84"/>
    </row>
    <row r="322" spans="1:11" ht="12.75" customHeight="1">
      <c r="A322" s="79">
        <v>1.168</v>
      </c>
      <c r="B322" s="75" t="s">
        <v>620</v>
      </c>
      <c r="C322" s="92" t="s">
        <v>817</v>
      </c>
      <c r="D322" s="154" t="s">
        <v>816</v>
      </c>
      <c r="E322" s="77" t="s">
        <v>619</v>
      </c>
      <c r="F322" s="56" t="s">
        <v>105</v>
      </c>
      <c r="G322" s="56" t="s">
        <v>105</v>
      </c>
      <c r="H322" s="56" t="s">
        <v>105</v>
      </c>
      <c r="I322" s="56"/>
      <c r="J322" s="200"/>
      <c r="K322" s="84"/>
    </row>
    <row r="323" spans="1:11" ht="12.75" customHeight="1">
      <c r="A323" s="79">
        <v>1.168</v>
      </c>
      <c r="B323" s="75" t="s">
        <v>621</v>
      </c>
      <c r="C323" s="92" t="s">
        <v>817</v>
      </c>
      <c r="D323" s="154" t="s">
        <v>816</v>
      </c>
      <c r="E323" s="77" t="s">
        <v>618</v>
      </c>
      <c r="F323" s="56" t="s">
        <v>105</v>
      </c>
      <c r="G323" s="56" t="s">
        <v>105</v>
      </c>
      <c r="H323" s="56" t="s">
        <v>105</v>
      </c>
      <c r="I323" s="56"/>
      <c r="J323" s="200"/>
      <c r="K323" s="84"/>
    </row>
    <row r="324" spans="1:11" ht="12.75" customHeight="1">
      <c r="A324" s="79">
        <v>1.168</v>
      </c>
      <c r="B324" s="75" t="s">
        <v>953</v>
      </c>
      <c r="C324" s="92" t="s">
        <v>817</v>
      </c>
      <c r="D324" s="154" t="s">
        <v>816</v>
      </c>
      <c r="E324" s="77" t="s">
        <v>952</v>
      </c>
      <c r="F324" s="56" t="s">
        <v>105</v>
      </c>
      <c r="G324" s="56" t="s">
        <v>105</v>
      </c>
      <c r="H324" s="56" t="s">
        <v>105</v>
      </c>
      <c r="I324" s="56"/>
      <c r="J324" s="200"/>
      <c r="K324" s="84"/>
    </row>
    <row r="325" spans="1:11" ht="12.75" customHeight="1">
      <c r="A325" s="79">
        <v>1.67</v>
      </c>
      <c r="B325" s="75" t="s">
        <v>657</v>
      </c>
      <c r="C325" s="92" t="s">
        <v>617</v>
      </c>
      <c r="D325" s="154" t="s">
        <v>816</v>
      </c>
      <c r="E325" s="77" t="s">
        <v>655</v>
      </c>
      <c r="F325" s="56" t="s">
        <v>105</v>
      </c>
      <c r="G325" s="56" t="s">
        <v>105</v>
      </c>
      <c r="H325" s="56" t="s">
        <v>105</v>
      </c>
      <c r="I325" s="56"/>
      <c r="J325" s="200"/>
      <c r="K325" s="84"/>
    </row>
    <row r="326" spans="1:11" ht="12.75" customHeight="1">
      <c r="A326" s="79">
        <v>1.67</v>
      </c>
      <c r="B326" s="75" t="s">
        <v>658</v>
      </c>
      <c r="C326" s="92" t="s">
        <v>617</v>
      </c>
      <c r="D326" s="154" t="s">
        <v>816</v>
      </c>
      <c r="E326" s="77" t="s">
        <v>656</v>
      </c>
      <c r="F326" s="56" t="s">
        <v>105</v>
      </c>
      <c r="G326" s="56" t="s">
        <v>105</v>
      </c>
      <c r="H326" s="56" t="s">
        <v>105</v>
      </c>
      <c r="I326" s="56"/>
      <c r="J326" s="200"/>
      <c r="K326" s="84"/>
    </row>
    <row r="327" spans="1:11" ht="12.75" customHeight="1">
      <c r="A327" s="79">
        <v>1.67</v>
      </c>
      <c r="B327" s="75" t="s">
        <v>1001</v>
      </c>
      <c r="C327" s="92" t="s">
        <v>617</v>
      </c>
      <c r="D327" s="154" t="s">
        <v>816</v>
      </c>
      <c r="E327" s="77" t="s">
        <v>1002</v>
      </c>
      <c r="F327" s="56" t="s">
        <v>105</v>
      </c>
      <c r="G327" s="56" t="s">
        <v>105</v>
      </c>
      <c r="H327" s="56" t="s">
        <v>105</v>
      </c>
      <c r="I327" s="56"/>
      <c r="J327" s="200"/>
      <c r="K327" s="84"/>
    </row>
    <row r="328" spans="1:12" s="88" customFormat="1" ht="12.75" customHeight="1">
      <c r="A328" s="155">
        <v>2.392</v>
      </c>
      <c r="B328" s="133" t="s">
        <v>1405</v>
      </c>
      <c r="C328" s="134" t="s">
        <v>1374</v>
      </c>
      <c r="D328" s="154" t="s">
        <v>816</v>
      </c>
      <c r="E328" s="135" t="s">
        <v>1455</v>
      </c>
      <c r="F328" s="56" t="s">
        <v>105</v>
      </c>
      <c r="G328" s="56" t="s">
        <v>105</v>
      </c>
      <c r="H328" s="56" t="s">
        <v>105</v>
      </c>
      <c r="I328" s="86"/>
      <c r="J328" s="203"/>
      <c r="K328" s="87"/>
      <c r="L328" s="256"/>
    </row>
    <row r="329" spans="1:12" s="88" customFormat="1" ht="12.75" customHeight="1">
      <c r="A329" s="155">
        <v>1.173</v>
      </c>
      <c r="B329" s="133" t="s">
        <v>1239</v>
      </c>
      <c r="C329" s="134" t="s">
        <v>1238</v>
      </c>
      <c r="D329" s="154" t="s">
        <v>816</v>
      </c>
      <c r="E329" s="135" t="s">
        <v>1241</v>
      </c>
      <c r="F329" s="56" t="s">
        <v>105</v>
      </c>
      <c r="G329" s="56" t="s">
        <v>105</v>
      </c>
      <c r="H329" s="56" t="s">
        <v>105</v>
      </c>
      <c r="I329" s="86"/>
      <c r="J329" s="203"/>
      <c r="K329" s="87"/>
      <c r="L329" s="256"/>
    </row>
    <row r="330" spans="1:12" s="88" customFormat="1" ht="12.75" customHeight="1">
      <c r="A330" s="155">
        <v>1.173</v>
      </c>
      <c r="B330" s="133" t="s">
        <v>1240</v>
      </c>
      <c r="C330" s="134" t="s">
        <v>1238</v>
      </c>
      <c r="D330" s="154" t="s">
        <v>816</v>
      </c>
      <c r="E330" s="135" t="s">
        <v>1242</v>
      </c>
      <c r="F330" s="56" t="s">
        <v>105</v>
      </c>
      <c r="G330" s="56" t="s">
        <v>105</v>
      </c>
      <c r="H330" s="56" t="s">
        <v>105</v>
      </c>
      <c r="I330" s="86"/>
      <c r="J330" s="203"/>
      <c r="K330" s="87"/>
      <c r="L330" s="256"/>
    </row>
    <row r="331" spans="1:12" s="88" customFormat="1" ht="12.75" customHeight="1">
      <c r="A331" s="155">
        <v>1.173</v>
      </c>
      <c r="B331" s="133" t="s">
        <v>1243</v>
      </c>
      <c r="C331" s="134" t="s">
        <v>1238</v>
      </c>
      <c r="D331" s="154" t="s">
        <v>816</v>
      </c>
      <c r="E331" s="135" t="s">
        <v>1244</v>
      </c>
      <c r="F331" s="56" t="s">
        <v>105</v>
      </c>
      <c r="G331" s="56" t="s">
        <v>105</v>
      </c>
      <c r="H331" s="56" t="s">
        <v>105</v>
      </c>
      <c r="I331" s="86"/>
      <c r="J331" s="203"/>
      <c r="K331" s="87"/>
      <c r="L331" s="256"/>
    </row>
    <row r="332" spans="1:12" s="88" customFormat="1" ht="12.75" customHeight="1">
      <c r="A332" s="155">
        <v>1.105</v>
      </c>
      <c r="B332" s="133" t="s">
        <v>1478</v>
      </c>
      <c r="C332" s="92" t="s">
        <v>475</v>
      </c>
      <c r="D332" s="154" t="s">
        <v>816</v>
      </c>
      <c r="E332" s="135" t="s">
        <v>1479</v>
      </c>
      <c r="F332" s="56" t="s">
        <v>105</v>
      </c>
      <c r="G332" s="56" t="s">
        <v>105</v>
      </c>
      <c r="H332" s="56" t="s">
        <v>105</v>
      </c>
      <c r="I332" s="86"/>
      <c r="J332" s="203"/>
      <c r="K332" s="87"/>
      <c r="L332" s="256"/>
    </row>
    <row r="333" spans="1:11" ht="12.75" customHeight="1">
      <c r="A333" s="79">
        <v>1.105</v>
      </c>
      <c r="B333" s="75" t="s">
        <v>370</v>
      </c>
      <c r="C333" s="92" t="s">
        <v>475</v>
      </c>
      <c r="D333" s="154" t="s">
        <v>816</v>
      </c>
      <c r="E333" s="77" t="s">
        <v>491</v>
      </c>
      <c r="F333" s="56" t="s">
        <v>105</v>
      </c>
      <c r="G333" s="56" t="s">
        <v>105</v>
      </c>
      <c r="H333" s="56" t="s">
        <v>105</v>
      </c>
      <c r="I333" s="56"/>
      <c r="J333" s="200"/>
      <c r="K333" s="84"/>
    </row>
    <row r="334" spans="1:11" ht="12.75" customHeight="1">
      <c r="A334" s="79">
        <v>1.105</v>
      </c>
      <c r="B334" s="75" t="s">
        <v>371</v>
      </c>
      <c r="C334" s="92" t="s">
        <v>475</v>
      </c>
      <c r="D334" s="154" t="s">
        <v>816</v>
      </c>
      <c r="E334" s="77" t="s">
        <v>492</v>
      </c>
      <c r="F334" s="56" t="s">
        <v>105</v>
      </c>
      <c r="G334" s="56" t="s">
        <v>105</v>
      </c>
      <c r="H334" s="56" t="s">
        <v>105</v>
      </c>
      <c r="I334" s="56"/>
      <c r="J334" s="200"/>
      <c r="K334" s="84"/>
    </row>
    <row r="335" spans="1:11" ht="12.75" customHeight="1">
      <c r="A335" s="79">
        <v>1.105</v>
      </c>
      <c r="B335" s="75" t="s">
        <v>1635</v>
      </c>
      <c r="C335" s="92" t="s">
        <v>475</v>
      </c>
      <c r="D335" s="154" t="s">
        <v>816</v>
      </c>
      <c r="E335" s="77" t="s">
        <v>1636</v>
      </c>
      <c r="F335" s="56" t="s">
        <v>105</v>
      </c>
      <c r="G335" s="56" t="s">
        <v>105</v>
      </c>
      <c r="H335" s="56" t="s">
        <v>105</v>
      </c>
      <c r="I335" s="56"/>
      <c r="J335" s="200"/>
      <c r="K335" s="84"/>
    </row>
    <row r="336" spans="1:11" ht="12.75" customHeight="1">
      <c r="A336" s="79">
        <v>1.105</v>
      </c>
      <c r="B336" s="75" t="s">
        <v>372</v>
      </c>
      <c r="C336" s="92" t="s">
        <v>475</v>
      </c>
      <c r="D336" s="154" t="s">
        <v>816</v>
      </c>
      <c r="E336" s="77" t="s">
        <v>644</v>
      </c>
      <c r="F336" s="56" t="s">
        <v>105</v>
      </c>
      <c r="G336" s="56" t="s">
        <v>105</v>
      </c>
      <c r="H336" s="56" t="s">
        <v>105</v>
      </c>
      <c r="I336" s="56"/>
      <c r="J336" s="200"/>
      <c r="K336" s="84"/>
    </row>
    <row r="337" spans="1:11" ht="12.75" customHeight="1">
      <c r="A337" s="79">
        <v>1.105</v>
      </c>
      <c r="B337" s="75" t="s">
        <v>373</v>
      </c>
      <c r="C337" s="92" t="s">
        <v>475</v>
      </c>
      <c r="D337" s="154" t="s">
        <v>816</v>
      </c>
      <c r="E337" s="77" t="s">
        <v>493</v>
      </c>
      <c r="F337" s="56" t="s">
        <v>105</v>
      </c>
      <c r="G337" s="56" t="s">
        <v>105</v>
      </c>
      <c r="H337" s="56" t="s">
        <v>105</v>
      </c>
      <c r="I337" s="56"/>
      <c r="J337" s="200"/>
      <c r="K337" s="84"/>
    </row>
    <row r="338" spans="1:11" ht="12.75" customHeight="1">
      <c r="A338" s="79">
        <v>1.105</v>
      </c>
      <c r="B338" s="75" t="s">
        <v>374</v>
      </c>
      <c r="C338" s="92" t="s">
        <v>475</v>
      </c>
      <c r="D338" s="154" t="s">
        <v>816</v>
      </c>
      <c r="E338" s="77" t="s">
        <v>494</v>
      </c>
      <c r="F338" s="56" t="s">
        <v>105</v>
      </c>
      <c r="G338" s="56" t="s">
        <v>105</v>
      </c>
      <c r="H338" s="56" t="s">
        <v>105</v>
      </c>
      <c r="I338" s="56"/>
      <c r="J338" s="200"/>
      <c r="K338" s="84"/>
    </row>
    <row r="339" spans="1:11" ht="12.75" customHeight="1">
      <c r="A339" s="79">
        <v>1.64</v>
      </c>
      <c r="B339" s="75" t="s">
        <v>700</v>
      </c>
      <c r="C339" s="92" t="s">
        <v>479</v>
      </c>
      <c r="D339" s="154" t="s">
        <v>816</v>
      </c>
      <c r="E339" s="77" t="s">
        <v>699</v>
      </c>
      <c r="F339" s="56" t="s">
        <v>105</v>
      </c>
      <c r="G339" s="56" t="s">
        <v>105</v>
      </c>
      <c r="H339" s="56" t="s">
        <v>105</v>
      </c>
      <c r="I339" s="56"/>
      <c r="J339" s="200"/>
      <c r="K339" s="84"/>
    </row>
    <row r="340" spans="1:11" ht="12.75" customHeight="1">
      <c r="A340" s="79">
        <v>1.64</v>
      </c>
      <c r="B340" s="75" t="s">
        <v>433</v>
      </c>
      <c r="C340" s="92" t="s">
        <v>479</v>
      </c>
      <c r="D340" s="154" t="s">
        <v>816</v>
      </c>
      <c r="E340" s="77" t="s">
        <v>1456</v>
      </c>
      <c r="F340" s="56" t="s">
        <v>105</v>
      </c>
      <c r="G340" s="56" t="s">
        <v>105</v>
      </c>
      <c r="H340" s="56" t="s">
        <v>105</v>
      </c>
      <c r="I340" s="56"/>
      <c r="J340" s="200"/>
      <c r="K340" s="84"/>
    </row>
    <row r="341" spans="1:11" ht="12.75" customHeight="1">
      <c r="A341" s="79">
        <v>1.142</v>
      </c>
      <c r="B341" s="75" t="s">
        <v>1023</v>
      </c>
      <c r="C341" s="92" t="s">
        <v>1024</v>
      </c>
      <c r="D341" s="154" t="s">
        <v>816</v>
      </c>
      <c r="E341" s="77" t="s">
        <v>1022</v>
      </c>
      <c r="F341" s="56" t="s">
        <v>105</v>
      </c>
      <c r="G341" s="56" t="s">
        <v>105</v>
      </c>
      <c r="H341" s="56" t="s">
        <v>105</v>
      </c>
      <c r="I341" s="56"/>
      <c r="J341" s="200"/>
      <c r="K341" s="84"/>
    </row>
    <row r="342" spans="1:11" ht="12.75" customHeight="1">
      <c r="A342" s="79">
        <v>1.129</v>
      </c>
      <c r="B342" s="75" t="s">
        <v>1503</v>
      </c>
      <c r="C342" s="92" t="s">
        <v>1381</v>
      </c>
      <c r="D342" s="154" t="s">
        <v>816</v>
      </c>
      <c r="E342" s="77" t="s">
        <v>1502</v>
      </c>
      <c r="F342" s="56" t="s">
        <v>105</v>
      </c>
      <c r="G342" s="56" t="s">
        <v>105</v>
      </c>
      <c r="H342" s="56" t="s">
        <v>105</v>
      </c>
      <c r="I342" s="56"/>
      <c r="J342" s="200"/>
      <c r="K342" s="84"/>
    </row>
    <row r="343" spans="1:11" ht="12.75" customHeight="1">
      <c r="A343" s="79">
        <v>1.129</v>
      </c>
      <c r="B343" s="75" t="s">
        <v>1506</v>
      </c>
      <c r="C343" s="92" t="s">
        <v>1381</v>
      </c>
      <c r="D343" s="154" t="s">
        <v>816</v>
      </c>
      <c r="E343" s="77" t="s">
        <v>1507</v>
      </c>
      <c r="F343" s="56" t="s">
        <v>105</v>
      </c>
      <c r="G343" s="56" t="s">
        <v>105</v>
      </c>
      <c r="H343" s="56" t="s">
        <v>105</v>
      </c>
      <c r="I343" s="56"/>
      <c r="J343" s="200"/>
      <c r="K343" s="84"/>
    </row>
    <row r="344" spans="1:11" ht="12.75" customHeight="1">
      <c r="A344" s="79">
        <v>1.129</v>
      </c>
      <c r="B344" s="75" t="s">
        <v>1509</v>
      </c>
      <c r="C344" s="92" t="s">
        <v>1381</v>
      </c>
      <c r="D344" s="154" t="s">
        <v>816</v>
      </c>
      <c r="E344" s="77" t="s">
        <v>1508</v>
      </c>
      <c r="F344" s="56" t="s">
        <v>105</v>
      </c>
      <c r="G344" s="56" t="s">
        <v>105</v>
      </c>
      <c r="H344" s="56" t="s">
        <v>105</v>
      </c>
      <c r="I344" s="56"/>
      <c r="J344" s="200"/>
      <c r="K344" s="84"/>
    </row>
    <row r="345" spans="1:11" ht="12.75" customHeight="1">
      <c r="A345" s="79">
        <v>1.129</v>
      </c>
      <c r="B345" s="75" t="s">
        <v>1516</v>
      </c>
      <c r="C345" s="92" t="s">
        <v>1381</v>
      </c>
      <c r="D345" s="154" t="s">
        <v>816</v>
      </c>
      <c r="E345" s="77" t="s">
        <v>1515</v>
      </c>
      <c r="F345" s="56" t="s">
        <v>105</v>
      </c>
      <c r="G345" s="56" t="s">
        <v>105</v>
      </c>
      <c r="H345" s="56" t="s">
        <v>105</v>
      </c>
      <c r="I345" s="56"/>
      <c r="J345" s="200"/>
      <c r="K345" s="84"/>
    </row>
    <row r="346" spans="1:11" ht="12.75" customHeight="1">
      <c r="A346" s="79">
        <v>1.129</v>
      </c>
      <c r="B346" s="75" t="s">
        <v>1504</v>
      </c>
      <c r="C346" s="92" t="s">
        <v>1381</v>
      </c>
      <c r="D346" s="154" t="s">
        <v>816</v>
      </c>
      <c r="E346" s="77" t="s">
        <v>1505</v>
      </c>
      <c r="F346" s="56" t="s">
        <v>105</v>
      </c>
      <c r="G346" s="56" t="s">
        <v>105</v>
      </c>
      <c r="H346" s="56" t="s">
        <v>105</v>
      </c>
      <c r="I346" s="56"/>
      <c r="J346" s="200"/>
      <c r="K346" s="84"/>
    </row>
    <row r="347" spans="1:11" ht="12.75" customHeight="1">
      <c r="A347" s="79">
        <v>1.129</v>
      </c>
      <c r="B347" s="75" t="s">
        <v>1380</v>
      </c>
      <c r="C347" s="92" t="s">
        <v>1381</v>
      </c>
      <c r="D347" s="154" t="s">
        <v>816</v>
      </c>
      <c r="E347" s="77" t="s">
        <v>1457</v>
      </c>
      <c r="F347" s="56" t="s">
        <v>105</v>
      </c>
      <c r="G347" s="56" t="s">
        <v>105</v>
      </c>
      <c r="H347" s="56" t="s">
        <v>105</v>
      </c>
      <c r="I347" s="56"/>
      <c r="J347" s="200"/>
      <c r="K347" s="84"/>
    </row>
    <row r="348" spans="1:11" ht="12.75" customHeight="1">
      <c r="A348" s="79">
        <v>1.159</v>
      </c>
      <c r="B348" s="75" t="s">
        <v>962</v>
      </c>
      <c r="C348" s="92" t="s">
        <v>961</v>
      </c>
      <c r="D348" s="154" t="s">
        <v>816</v>
      </c>
      <c r="E348" s="77" t="s">
        <v>963</v>
      </c>
      <c r="F348" s="56" t="s">
        <v>105</v>
      </c>
      <c r="G348" s="56" t="s">
        <v>105</v>
      </c>
      <c r="H348" s="56" t="s">
        <v>105</v>
      </c>
      <c r="I348" s="56"/>
      <c r="J348" s="200"/>
      <c r="K348" s="84"/>
    </row>
    <row r="349" spans="1:11" ht="12.75" customHeight="1">
      <c r="A349" s="79">
        <v>1.153</v>
      </c>
      <c r="B349" s="75" t="s">
        <v>627</v>
      </c>
      <c r="C349" s="92" t="s">
        <v>625</v>
      </c>
      <c r="D349" s="154" t="s">
        <v>816</v>
      </c>
      <c r="E349" s="77" t="s">
        <v>626</v>
      </c>
      <c r="F349" s="56" t="s">
        <v>105</v>
      </c>
      <c r="G349" s="56" t="s">
        <v>105</v>
      </c>
      <c r="H349" s="56" t="s">
        <v>105</v>
      </c>
      <c r="I349" s="56"/>
      <c r="J349" s="200"/>
      <c r="K349" s="84"/>
    </row>
    <row r="350" spans="1:11" ht="12.75" customHeight="1">
      <c r="A350" s="79">
        <v>1.153</v>
      </c>
      <c r="B350" s="75" t="s">
        <v>1342</v>
      </c>
      <c r="C350" s="92" t="s">
        <v>625</v>
      </c>
      <c r="D350" s="154" t="s">
        <v>816</v>
      </c>
      <c r="E350" s="77" t="s">
        <v>1343</v>
      </c>
      <c r="F350" s="56" t="s">
        <v>105</v>
      </c>
      <c r="G350" s="56" t="s">
        <v>105</v>
      </c>
      <c r="H350" s="56" t="s">
        <v>105</v>
      </c>
      <c r="I350" s="56"/>
      <c r="J350" s="200"/>
      <c r="K350" s="84"/>
    </row>
    <row r="351" spans="1:12" s="42" customFormat="1" ht="12.75">
      <c r="A351" s="132">
        <v>1.42</v>
      </c>
      <c r="B351" s="133" t="s">
        <v>1033</v>
      </c>
      <c r="C351" s="134" t="s">
        <v>435</v>
      </c>
      <c r="D351" s="154" t="s">
        <v>816</v>
      </c>
      <c r="E351" s="135" t="s">
        <v>1034</v>
      </c>
      <c r="F351" s="56" t="s">
        <v>105</v>
      </c>
      <c r="G351" s="56" t="s">
        <v>105</v>
      </c>
      <c r="H351" s="56" t="s">
        <v>105</v>
      </c>
      <c r="I351" s="56"/>
      <c r="J351" s="200"/>
      <c r="K351" s="84" t="s">
        <v>105</v>
      </c>
      <c r="L351" s="253"/>
    </row>
    <row r="352" spans="1:12" s="42" customFormat="1" ht="12.75">
      <c r="A352" s="132">
        <v>1.42</v>
      </c>
      <c r="B352" s="133" t="s">
        <v>420</v>
      </c>
      <c r="C352" s="134" t="s">
        <v>435</v>
      </c>
      <c r="D352" s="154" t="s">
        <v>816</v>
      </c>
      <c r="E352" s="135" t="s">
        <v>534</v>
      </c>
      <c r="F352" s="56" t="s">
        <v>105</v>
      </c>
      <c r="G352" s="56" t="s">
        <v>105</v>
      </c>
      <c r="H352" s="56" t="s">
        <v>105</v>
      </c>
      <c r="I352" s="56"/>
      <c r="J352" s="200"/>
      <c r="K352" s="84" t="s">
        <v>105</v>
      </c>
      <c r="L352" s="253"/>
    </row>
    <row r="353" spans="1:12" s="183" customFormat="1" ht="12.75">
      <c r="A353" s="79">
        <v>1.39</v>
      </c>
      <c r="B353" s="75" t="s">
        <v>921</v>
      </c>
      <c r="C353" s="92" t="s">
        <v>918</v>
      </c>
      <c r="D353" s="154" t="s">
        <v>816</v>
      </c>
      <c r="E353" s="77" t="s">
        <v>1458</v>
      </c>
      <c r="F353" s="56" t="s">
        <v>105</v>
      </c>
      <c r="G353" s="56" t="s">
        <v>105</v>
      </c>
      <c r="H353" s="56" t="s">
        <v>105</v>
      </c>
      <c r="I353" s="56"/>
      <c r="J353" s="200"/>
      <c r="K353" s="84" t="s">
        <v>105</v>
      </c>
      <c r="L353" s="254"/>
    </row>
    <row r="354" spans="1:11" ht="12.75">
      <c r="A354" s="79">
        <v>1.194</v>
      </c>
      <c r="B354" s="75" t="s">
        <v>938</v>
      </c>
      <c r="C354" s="92" t="s">
        <v>918</v>
      </c>
      <c r="D354" s="154" t="s">
        <v>816</v>
      </c>
      <c r="E354" s="77" t="s">
        <v>937</v>
      </c>
      <c r="F354" s="56" t="s">
        <v>105</v>
      </c>
      <c r="G354" s="56" t="s">
        <v>105</v>
      </c>
      <c r="H354" s="56" t="s">
        <v>105</v>
      </c>
      <c r="I354" s="56"/>
      <c r="J354" s="200"/>
      <c r="K354" s="84" t="s">
        <v>105</v>
      </c>
    </row>
    <row r="355" spans="1:11" ht="12.75">
      <c r="A355" s="79">
        <v>1.178</v>
      </c>
      <c r="B355" s="75" t="s">
        <v>365</v>
      </c>
      <c r="C355" s="134" t="s">
        <v>949</v>
      </c>
      <c r="D355" s="154" t="s">
        <v>816</v>
      </c>
      <c r="E355" s="77" t="s">
        <v>485</v>
      </c>
      <c r="F355" s="56" t="s">
        <v>105</v>
      </c>
      <c r="G355" s="56" t="s">
        <v>105</v>
      </c>
      <c r="H355" s="56" t="s">
        <v>105</v>
      </c>
      <c r="I355" s="56"/>
      <c r="J355" s="200"/>
      <c r="K355" s="84"/>
    </row>
    <row r="356" spans="1:11" ht="12.75">
      <c r="A356" s="79">
        <v>1.178</v>
      </c>
      <c r="B356" s="75" t="s">
        <v>1335</v>
      </c>
      <c r="C356" s="134" t="s">
        <v>949</v>
      </c>
      <c r="D356" s="154" t="s">
        <v>816</v>
      </c>
      <c r="E356" s="77" t="s">
        <v>1336</v>
      </c>
      <c r="F356" s="56" t="s">
        <v>105</v>
      </c>
      <c r="G356" s="56" t="s">
        <v>105</v>
      </c>
      <c r="H356" s="56" t="s">
        <v>105</v>
      </c>
      <c r="I356" s="56"/>
      <c r="J356" s="200"/>
      <c r="K356" s="84"/>
    </row>
    <row r="357" spans="1:11" ht="12.75">
      <c r="A357" s="79">
        <v>1.178</v>
      </c>
      <c r="B357" s="75" t="s">
        <v>1745</v>
      </c>
      <c r="C357" s="134" t="s">
        <v>949</v>
      </c>
      <c r="D357" s="154" t="s">
        <v>816</v>
      </c>
      <c r="E357" s="77" t="s">
        <v>1744</v>
      </c>
      <c r="F357" s="56" t="s">
        <v>105</v>
      </c>
      <c r="G357" s="56" t="s">
        <v>105</v>
      </c>
      <c r="H357" s="56" t="s">
        <v>105</v>
      </c>
      <c r="I357" s="56"/>
      <c r="J357" s="200"/>
      <c r="K357" s="84"/>
    </row>
    <row r="358" spans="1:11" ht="12.75" customHeight="1">
      <c r="A358" s="132">
        <v>1.85</v>
      </c>
      <c r="B358" s="133" t="s">
        <v>1114</v>
      </c>
      <c r="C358" s="134" t="s">
        <v>482</v>
      </c>
      <c r="D358" s="154" t="s">
        <v>816</v>
      </c>
      <c r="E358" s="135" t="s">
        <v>1115</v>
      </c>
      <c r="F358" s="56" t="s">
        <v>105</v>
      </c>
      <c r="G358" s="56" t="s">
        <v>105</v>
      </c>
      <c r="H358" s="56" t="s">
        <v>105</v>
      </c>
      <c r="I358" s="56"/>
      <c r="J358" s="200"/>
      <c r="K358" s="84"/>
    </row>
    <row r="359" spans="1:11" ht="12.75" customHeight="1" thickBot="1">
      <c r="A359" s="172">
        <v>1.85</v>
      </c>
      <c r="B359" s="81" t="s">
        <v>413</v>
      </c>
      <c r="C359" s="95" t="s">
        <v>482</v>
      </c>
      <c r="D359" s="173" t="s">
        <v>816</v>
      </c>
      <c r="E359" s="82" t="s">
        <v>530</v>
      </c>
      <c r="F359" s="57" t="s">
        <v>105</v>
      </c>
      <c r="G359" s="57" t="s">
        <v>105</v>
      </c>
      <c r="H359" s="57" t="s">
        <v>105</v>
      </c>
      <c r="I359" s="57"/>
      <c r="J359" s="205"/>
      <c r="K359" s="174"/>
    </row>
    <row r="360" ht="12.75" customHeight="1"/>
    <row r="394" ht="12.75">
      <c r="B394" s="74" t="s">
        <v>860</v>
      </c>
    </row>
    <row r="395" ht="12.75">
      <c r="B395" s="74" t="s">
        <v>860</v>
      </c>
    </row>
    <row r="396" ht="12.75">
      <c r="B396" s="74" t="s">
        <v>860</v>
      </c>
    </row>
  </sheetData>
  <sheetProtection autoFilter="0"/>
  <autoFilter ref="A5:K396"/>
  <mergeCells count="46">
    <mergeCell ref="A309:B309"/>
    <mergeCell ref="D309:K309"/>
    <mergeCell ref="A222:B222"/>
    <mergeCell ref="D222:K222"/>
    <mergeCell ref="A238:B238"/>
    <mergeCell ref="D238:K238"/>
    <mergeCell ref="A270:B270"/>
    <mergeCell ref="D270:K270"/>
    <mergeCell ref="A191:B191"/>
    <mergeCell ref="D191:K191"/>
    <mergeCell ref="A162:B162"/>
    <mergeCell ref="D162:K162"/>
    <mergeCell ref="A110:B110"/>
    <mergeCell ref="D110:K110"/>
    <mergeCell ref="A93:B93"/>
    <mergeCell ref="D93:K93"/>
    <mergeCell ref="A97:B97"/>
    <mergeCell ref="D97:K97"/>
    <mergeCell ref="A109:E109"/>
    <mergeCell ref="A152:B152"/>
    <mergeCell ref="D152:K152"/>
    <mergeCell ref="A72:B72"/>
    <mergeCell ref="D72:K72"/>
    <mergeCell ref="A75:B75"/>
    <mergeCell ref="D75:K75"/>
    <mergeCell ref="A86:B86"/>
    <mergeCell ref="D86:K86"/>
    <mergeCell ref="D7:K7"/>
    <mergeCell ref="A52:B52"/>
    <mergeCell ref="D52:K52"/>
    <mergeCell ref="A64:B64"/>
    <mergeCell ref="D64:K64"/>
    <mergeCell ref="A11:B11"/>
    <mergeCell ref="D11:K11"/>
    <mergeCell ref="A43:B43"/>
    <mergeCell ref="D43:K43"/>
    <mergeCell ref="F6:J6"/>
    <mergeCell ref="F109:J109"/>
    <mergeCell ref="A1:E2"/>
    <mergeCell ref="F1:K2"/>
    <mergeCell ref="A29:B29"/>
    <mergeCell ref="D29:K29"/>
    <mergeCell ref="A6:E6"/>
    <mergeCell ref="A3:E4"/>
    <mergeCell ref="F3:K4"/>
    <mergeCell ref="A7:B7"/>
  </mergeCells>
  <conditionalFormatting sqref="E73:E74">
    <cfRule type="duplicateValues" priority="39" dxfId="0" stopIfTrue="1">
      <formula>AND(COUNTIF($E$73:$E$74,E73)&gt;1,NOT(ISBLANK(E73)))</formula>
    </cfRule>
  </conditionalFormatting>
  <conditionalFormatting sqref="E352:E357 E359 E310:E350">
    <cfRule type="duplicateValues" priority="518" dxfId="0" stopIfTrue="1">
      <formula>AND(COUNTIF($E$352:$E$357,E310)+COUNTIF($E$359:$E$359,E310)+COUNTIF($E$310:$E$350,E310)&gt;1,NOT(ISBLANK(E310)))</formula>
    </cfRule>
  </conditionalFormatting>
  <conditionalFormatting sqref="E351">
    <cfRule type="duplicateValues" priority="25" dxfId="0" stopIfTrue="1">
      <formula>AND(COUNTIF($E$351:$E$351,E351)&gt;1,NOT(ISBLANK(E351)))</formula>
    </cfRule>
  </conditionalFormatting>
  <conditionalFormatting sqref="E57:E63 E53:E54">
    <cfRule type="duplicateValues" priority="715" dxfId="0" stopIfTrue="1">
      <formula>AND(COUNTIF($E$57:$E$63,E53)+COUNTIF($E$53:$E$54,E53)&gt;1,NOT(ISBLANK(E53)))</formula>
    </cfRule>
  </conditionalFormatting>
  <conditionalFormatting sqref="E65:E71">
    <cfRule type="duplicateValues" priority="728" dxfId="0" stopIfTrue="1">
      <formula>AND(COUNTIF($E$65:$E$71,E65)&gt;1,NOT(ISBLANK(E65)))</formula>
    </cfRule>
  </conditionalFormatting>
  <conditionalFormatting sqref="E358 E271:E308">
    <cfRule type="duplicateValues" priority="936" dxfId="0" stopIfTrue="1">
      <formula>AND(COUNTIF($E$358:$E$358,E271)+COUNTIF($E$271:$E$308,E271)&gt;1,NOT(ISBLANK(E271)))</formula>
    </cfRule>
  </conditionalFormatting>
  <conditionalFormatting sqref="E185:E187 E44:E51">
    <cfRule type="duplicateValues" priority="959" dxfId="0" stopIfTrue="1">
      <formula>AND(COUNTIF($E$185:$E$187,E44)+COUNTIF($E$44:$E$51,E44)&gt;1,NOT(ISBLANK(E44)))</formula>
    </cfRule>
  </conditionalFormatting>
  <conditionalFormatting sqref="E153:E161">
    <cfRule type="duplicateValues" priority="1457" dxfId="0" stopIfTrue="1">
      <formula>AND(COUNTIF($E$153:$E$161,E153)&gt;1,NOT(ISBLANK(E153)))</formula>
    </cfRule>
  </conditionalFormatting>
  <conditionalFormatting sqref="E98:E108">
    <cfRule type="duplicateValues" priority="3115" dxfId="0" stopIfTrue="1">
      <formula>AND(COUNTIF($E$98:$E$108,E98)&gt;1,NOT(ISBLANK(E98)))</formula>
    </cfRule>
  </conditionalFormatting>
  <conditionalFormatting sqref="E239:E269">
    <cfRule type="duplicateValues" priority="3341" dxfId="0" stopIfTrue="1">
      <formula>AND(COUNTIF($E$239:$E$269,E239)&gt;1,NOT(ISBLANK(E239)))</formula>
    </cfRule>
  </conditionalFormatting>
  <conditionalFormatting sqref="B1:B65536">
    <cfRule type="duplicateValues" priority="1" dxfId="0" stopIfTrue="1">
      <formula>AND(COUNTIF($B$1:$B$65536,B1)&gt;1,NOT(ISBLANK(B1)))</formula>
    </cfRule>
  </conditionalFormatting>
  <conditionalFormatting sqref="E8:E10">
    <cfRule type="duplicateValues" priority="6161" dxfId="0" stopIfTrue="1">
      <formula>AND(COUNTIF($E$8:$E$10,E8)&gt;1,NOT(ISBLANK(E8)))</formula>
    </cfRule>
  </conditionalFormatting>
  <conditionalFormatting sqref="E12:E28">
    <cfRule type="duplicateValues" priority="6194" dxfId="0" stopIfTrue="1">
      <formula>AND(COUNTIF($E$12:$E$28,E12)&gt;1,NOT(ISBLANK(E12)))</formula>
    </cfRule>
  </conditionalFormatting>
  <conditionalFormatting sqref="E37:E38">
    <cfRule type="duplicateValues" priority="6215" dxfId="0" stopIfTrue="1">
      <formula>AND(COUNTIF($E$37:$E$38,E37)&gt;1,NOT(ISBLANK(E37)))</formula>
    </cfRule>
  </conditionalFormatting>
  <conditionalFormatting sqref="E55:E56">
    <cfRule type="duplicateValues" priority="6231" dxfId="0" stopIfTrue="1">
      <formula>AND(COUNTIF($E$55:$E$56,E55)&gt;1,NOT(ISBLANK(E55)))</formula>
    </cfRule>
  </conditionalFormatting>
  <conditionalFormatting sqref="E76:E85">
    <cfRule type="duplicateValues" priority="6247" dxfId="0" stopIfTrue="1">
      <formula>AND(COUNTIF($E$76:$E$85,E76)&gt;1,NOT(ISBLANK(E76)))</formula>
    </cfRule>
  </conditionalFormatting>
  <conditionalFormatting sqref="E87:E92">
    <cfRule type="duplicateValues" priority="6248" dxfId="0" stopIfTrue="1">
      <formula>AND(COUNTIF($E$87:$E$92,E87)&gt;1,NOT(ISBLANK(E87)))</formula>
    </cfRule>
  </conditionalFormatting>
  <conditionalFormatting sqref="E111:E151">
    <cfRule type="duplicateValues" priority="6267" dxfId="0" stopIfTrue="1">
      <formula>AND(COUNTIF($E$111:$E$151,E111)&gt;1,NOT(ISBLANK(E111)))</formula>
    </cfRule>
  </conditionalFormatting>
  <conditionalFormatting sqref="E30:E36 E39:E42">
    <cfRule type="duplicateValues" priority="6275" dxfId="0" stopIfTrue="1">
      <formula>AND(COUNTIF($E$30:$E$36,E30)+COUNTIF($E$39:$E$42,E30)&gt;1,NOT(ISBLANK(E30)))</formula>
    </cfRule>
  </conditionalFormatting>
  <conditionalFormatting sqref="E188:E190 E163:E184">
    <cfRule type="duplicateValues" priority="6283" dxfId="0" stopIfTrue="1">
      <formula>AND(COUNTIF($E$188:$E$190,E163)+COUNTIF($E$163:$E$184,E163)&gt;1,NOT(ISBLANK(E163)))</formula>
    </cfRule>
  </conditionalFormatting>
  <conditionalFormatting sqref="E192:E221">
    <cfRule type="duplicateValues" priority="6290" dxfId="0" stopIfTrue="1">
      <formula>AND(COUNTIF($E$192:$E$221,E192)&gt;1,NOT(ISBLANK(E192)))</formula>
    </cfRule>
  </conditionalFormatting>
  <conditionalFormatting sqref="E223:E237">
    <cfRule type="duplicateValues" priority="6307" dxfId="0" stopIfTrue="1">
      <formula>AND(COUNTIF($E$223:$E$237,E223)&gt;1,NOT(ISBLANK(E223)))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9" r:id="rId1"/>
  <headerFooter alignWithMargins="0">
    <oddFooter>&amp;CМосква и Московская область, 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5"/>
  <sheetViews>
    <sheetView workbookViewId="0" topLeftCell="A1">
      <pane ySplit="5" topLeftCell="A6" activePane="bottomLeft" state="frozen"/>
      <selection pane="topLeft" activeCell="A1" sqref="A1"/>
      <selection pane="bottomLeft" activeCell="C25" sqref="C25"/>
    </sheetView>
  </sheetViews>
  <sheetFormatPr defaultColWidth="9.140625" defaultRowHeight="12.75"/>
  <cols>
    <col min="1" max="1" width="8.140625" style="61" bestFit="1" customWidth="1"/>
    <col min="2" max="2" width="13.57421875" style="62" customWidth="1"/>
    <col min="3" max="3" width="25.7109375" style="40" bestFit="1" customWidth="1"/>
    <col min="4" max="4" width="27.7109375" style="51" customWidth="1"/>
    <col min="5" max="5" width="99.7109375" style="30" bestFit="1" customWidth="1"/>
    <col min="6" max="6" width="3.7109375" style="11" customWidth="1"/>
    <col min="7" max="7" width="3.8515625" style="10" customWidth="1"/>
    <col min="8" max="8" width="3.140625" style="10" customWidth="1"/>
    <col min="9" max="10" width="3.8515625" style="10" customWidth="1"/>
    <col min="11" max="11" width="8.7109375" style="10" bestFit="1" customWidth="1"/>
    <col min="12" max="16384" width="9.140625" style="7" customWidth="1"/>
  </cols>
  <sheetData>
    <row r="1" spans="1:11" ht="12.75">
      <c r="A1" s="322" t="s">
        <v>1926</v>
      </c>
      <c r="B1" s="267"/>
      <c r="C1" s="267"/>
      <c r="D1" s="267"/>
      <c r="E1" s="308"/>
      <c r="F1" s="267"/>
      <c r="G1" s="267"/>
      <c r="H1" s="267"/>
      <c r="I1" s="267"/>
      <c r="J1" s="267"/>
      <c r="K1" s="267"/>
    </row>
    <row r="2" spans="1:11" ht="35.25" customHeight="1" thickBot="1">
      <c r="A2" s="267"/>
      <c r="B2" s="267"/>
      <c r="C2" s="267"/>
      <c r="D2" s="267"/>
      <c r="E2" s="267"/>
      <c r="F2" s="267"/>
      <c r="G2" s="267"/>
      <c r="H2" s="267"/>
      <c r="I2" s="267"/>
      <c r="J2" s="267"/>
      <c r="K2" s="267"/>
    </row>
    <row r="3" spans="1:11" ht="15" customHeight="1">
      <c r="A3" s="309" t="s">
        <v>1927</v>
      </c>
      <c r="B3" s="309"/>
      <c r="C3" s="309"/>
      <c r="D3" s="309"/>
      <c r="E3" s="309"/>
      <c r="F3" s="312">
        <f>K8+K11+K13+K78+K91+K115+K125+K141+K147+K166+K169+K177+K180+K192+K205+K207+K215+K218+K224+K227+K229+K232+K234+K236+K259+K263+K265+K292+K371+K386+K406+K412+K417+K424+K426+K440+K470+K480+K6+K131</f>
        <v>464</v>
      </c>
      <c r="G3" s="313"/>
      <c r="H3" s="313"/>
      <c r="I3" s="313"/>
      <c r="J3" s="313"/>
      <c r="K3" s="314"/>
    </row>
    <row r="4" spans="1:11" ht="18.75" customHeight="1" thickBot="1">
      <c r="A4" s="310"/>
      <c r="B4" s="311"/>
      <c r="C4" s="311"/>
      <c r="D4" s="311"/>
      <c r="E4" s="311"/>
      <c r="F4" s="315"/>
      <c r="G4" s="316"/>
      <c r="H4" s="316"/>
      <c r="I4" s="316"/>
      <c r="J4" s="316"/>
      <c r="K4" s="317"/>
    </row>
    <row r="5" spans="1:11" s="8" customFormat="1" ht="61.5" customHeight="1" thickBot="1">
      <c r="A5" s="230" t="s">
        <v>628</v>
      </c>
      <c r="B5" s="237" t="s">
        <v>629</v>
      </c>
      <c r="C5" s="231" t="s">
        <v>474</v>
      </c>
      <c r="D5" s="232" t="s">
        <v>85</v>
      </c>
      <c r="E5" s="238" t="s">
        <v>106</v>
      </c>
      <c r="F5" s="234" t="s">
        <v>630</v>
      </c>
      <c r="G5" s="231" t="s">
        <v>631</v>
      </c>
      <c r="H5" s="231" t="s">
        <v>632</v>
      </c>
      <c r="I5" s="231" t="s">
        <v>1184</v>
      </c>
      <c r="J5" s="235" t="s">
        <v>1339</v>
      </c>
      <c r="K5" s="236" t="s">
        <v>633</v>
      </c>
    </row>
    <row r="6" spans="1:11" s="6" customFormat="1" ht="21" customHeight="1" thickBot="1">
      <c r="A6" s="293" t="s">
        <v>1706</v>
      </c>
      <c r="B6" s="294"/>
      <c r="C6" s="294"/>
      <c r="D6" s="294"/>
      <c r="E6" s="295"/>
      <c r="F6" s="296" t="s">
        <v>87</v>
      </c>
      <c r="G6" s="297"/>
      <c r="H6" s="297"/>
      <c r="I6" s="297"/>
      <c r="J6" s="298"/>
      <c r="K6" s="190">
        <f>SUBTOTAL(3,D7)</f>
        <v>1</v>
      </c>
    </row>
    <row r="7" spans="1:11" s="6" customFormat="1" ht="12.75" customHeight="1" thickBot="1">
      <c r="A7" s="175">
        <v>2.302</v>
      </c>
      <c r="B7" s="52" t="s">
        <v>1707</v>
      </c>
      <c r="C7" s="97" t="s">
        <v>309</v>
      </c>
      <c r="D7" s="98" t="s">
        <v>1706</v>
      </c>
      <c r="E7" s="99" t="s">
        <v>1708</v>
      </c>
      <c r="F7" s="52" t="s">
        <v>105</v>
      </c>
      <c r="G7" s="52" t="s">
        <v>105</v>
      </c>
      <c r="H7" s="52" t="s">
        <v>105</v>
      </c>
      <c r="I7" s="52"/>
      <c r="J7" s="207"/>
      <c r="K7" s="69"/>
    </row>
    <row r="8" spans="1:11" s="6" customFormat="1" ht="19.5" customHeight="1" thickBot="1">
      <c r="A8" s="293" t="s">
        <v>1674</v>
      </c>
      <c r="B8" s="294"/>
      <c r="C8" s="294"/>
      <c r="D8" s="294"/>
      <c r="E8" s="295"/>
      <c r="F8" s="296" t="s">
        <v>87</v>
      </c>
      <c r="G8" s="297"/>
      <c r="H8" s="297"/>
      <c r="I8" s="297"/>
      <c r="J8" s="298"/>
      <c r="K8" s="190">
        <f>SUBTOTAL(3,D9:D10)</f>
        <v>2</v>
      </c>
    </row>
    <row r="9" spans="1:11" s="89" customFormat="1" ht="12.75" customHeight="1">
      <c r="A9" s="246">
        <v>2.302</v>
      </c>
      <c r="B9" s="102" t="s">
        <v>1720</v>
      </c>
      <c r="C9" s="31" t="s">
        <v>309</v>
      </c>
      <c r="D9" s="102" t="s">
        <v>1674</v>
      </c>
      <c r="E9" s="37" t="s">
        <v>1721</v>
      </c>
      <c r="F9" s="102" t="s">
        <v>105</v>
      </c>
      <c r="G9" s="102" t="s">
        <v>105</v>
      </c>
      <c r="H9" s="102" t="s">
        <v>105</v>
      </c>
      <c r="I9" s="102"/>
      <c r="J9" s="102"/>
      <c r="K9" s="245"/>
    </row>
    <row r="10" spans="1:11" s="89" customFormat="1" ht="12.75" customHeight="1" thickBot="1">
      <c r="A10" s="246">
        <v>2.302</v>
      </c>
      <c r="B10" s="102" t="s">
        <v>1777</v>
      </c>
      <c r="C10" s="31" t="s">
        <v>309</v>
      </c>
      <c r="D10" s="102" t="s">
        <v>1674</v>
      </c>
      <c r="E10" s="37" t="s">
        <v>1778</v>
      </c>
      <c r="F10" s="102" t="s">
        <v>105</v>
      </c>
      <c r="G10" s="102" t="s">
        <v>105</v>
      </c>
      <c r="H10" s="102" t="s">
        <v>105</v>
      </c>
      <c r="I10" s="102"/>
      <c r="J10" s="102"/>
      <c r="K10" s="245"/>
    </row>
    <row r="11" spans="1:11" s="6" customFormat="1" ht="21" customHeight="1" thickBot="1">
      <c r="A11" s="293" t="s">
        <v>1048</v>
      </c>
      <c r="B11" s="294"/>
      <c r="C11" s="294"/>
      <c r="D11" s="294"/>
      <c r="E11" s="295"/>
      <c r="F11" s="296" t="s">
        <v>87</v>
      </c>
      <c r="G11" s="297"/>
      <c r="H11" s="297"/>
      <c r="I11" s="297"/>
      <c r="J11" s="298"/>
      <c r="K11" s="190">
        <f>SUBTOTAL(3,D12:D12)</f>
        <v>1</v>
      </c>
    </row>
    <row r="12" spans="1:11" s="6" customFormat="1" ht="12.75" customHeight="1" thickBot="1">
      <c r="A12" s="176">
        <v>2.302</v>
      </c>
      <c r="B12" s="101" t="s">
        <v>1816</v>
      </c>
      <c r="C12" s="37" t="s">
        <v>309</v>
      </c>
      <c r="D12" s="102" t="s">
        <v>1048</v>
      </c>
      <c r="E12" s="103" t="s">
        <v>1817</v>
      </c>
      <c r="F12" s="53" t="s">
        <v>105</v>
      </c>
      <c r="G12" s="53" t="s">
        <v>105</v>
      </c>
      <c r="H12" s="53" t="s">
        <v>105</v>
      </c>
      <c r="I12" s="53"/>
      <c r="J12" s="208"/>
      <c r="K12" s="68"/>
    </row>
    <row r="13" spans="1:11" s="6" customFormat="1" ht="21" customHeight="1" thickBot="1">
      <c r="A13" s="293" t="s">
        <v>144</v>
      </c>
      <c r="B13" s="294"/>
      <c r="C13" s="294"/>
      <c r="D13" s="294"/>
      <c r="E13" s="295"/>
      <c r="F13" s="296" t="s">
        <v>87</v>
      </c>
      <c r="G13" s="297"/>
      <c r="H13" s="297"/>
      <c r="I13" s="297"/>
      <c r="J13" s="298"/>
      <c r="K13" s="190">
        <f>SUBTOTAL(3,D14:D77)</f>
        <v>64</v>
      </c>
    </row>
    <row r="14" spans="1:11" s="6" customFormat="1" ht="12.75" customHeight="1">
      <c r="A14" s="100">
        <v>2.18</v>
      </c>
      <c r="B14" s="101" t="s">
        <v>176</v>
      </c>
      <c r="C14" s="37" t="s">
        <v>782</v>
      </c>
      <c r="D14" s="102" t="s">
        <v>144</v>
      </c>
      <c r="E14" s="103" t="s">
        <v>545</v>
      </c>
      <c r="F14" s="53" t="s">
        <v>105</v>
      </c>
      <c r="G14" s="53" t="s">
        <v>105</v>
      </c>
      <c r="H14" s="53" t="s">
        <v>105</v>
      </c>
      <c r="I14" s="53"/>
      <c r="J14" s="208"/>
      <c r="K14" s="68"/>
    </row>
    <row r="15" spans="1:11" s="6" customFormat="1" ht="12.75" customHeight="1">
      <c r="A15" s="104">
        <v>2.18</v>
      </c>
      <c r="B15" s="105" t="s">
        <v>177</v>
      </c>
      <c r="C15" s="37" t="s">
        <v>782</v>
      </c>
      <c r="D15" s="106" t="s">
        <v>144</v>
      </c>
      <c r="E15" s="107" t="s">
        <v>546</v>
      </c>
      <c r="F15" s="52" t="s">
        <v>105</v>
      </c>
      <c r="G15" s="52" t="s">
        <v>105</v>
      </c>
      <c r="H15" s="52" t="s">
        <v>105</v>
      </c>
      <c r="I15" s="52"/>
      <c r="J15" s="207"/>
      <c r="K15" s="69"/>
    </row>
    <row r="16" spans="1:11" s="6" customFormat="1" ht="12.75" customHeight="1">
      <c r="A16" s="104">
        <v>2.18</v>
      </c>
      <c r="B16" s="105" t="s">
        <v>462</v>
      </c>
      <c r="C16" s="37" t="s">
        <v>782</v>
      </c>
      <c r="D16" s="106" t="s">
        <v>144</v>
      </c>
      <c r="E16" s="107" t="s">
        <v>547</v>
      </c>
      <c r="F16" s="52" t="s">
        <v>105</v>
      </c>
      <c r="G16" s="52" t="s">
        <v>105</v>
      </c>
      <c r="H16" s="52" t="s">
        <v>105</v>
      </c>
      <c r="I16" s="52"/>
      <c r="J16" s="207"/>
      <c r="K16" s="69"/>
    </row>
    <row r="17" spans="1:11" s="6" customFormat="1" ht="12.75" customHeight="1">
      <c r="A17" s="104">
        <v>2.18</v>
      </c>
      <c r="B17" s="157" t="s">
        <v>1031</v>
      </c>
      <c r="C17" s="37" t="s">
        <v>782</v>
      </c>
      <c r="D17" s="106" t="s">
        <v>144</v>
      </c>
      <c r="E17" s="107" t="s">
        <v>1029</v>
      </c>
      <c r="F17" s="52" t="s">
        <v>105</v>
      </c>
      <c r="G17" s="52" t="s">
        <v>105</v>
      </c>
      <c r="H17" s="52" t="s">
        <v>105</v>
      </c>
      <c r="I17" s="52"/>
      <c r="J17" s="207"/>
      <c r="K17" s="69"/>
    </row>
    <row r="18" spans="1:11" s="6" customFormat="1" ht="12.75" customHeight="1">
      <c r="A18" s="104">
        <v>2.18</v>
      </c>
      <c r="B18" s="157" t="s">
        <v>1032</v>
      </c>
      <c r="C18" s="37" t="s">
        <v>782</v>
      </c>
      <c r="D18" s="106" t="s">
        <v>144</v>
      </c>
      <c r="E18" s="107" t="s">
        <v>1030</v>
      </c>
      <c r="F18" s="52" t="s">
        <v>105</v>
      </c>
      <c r="G18" s="52" t="s">
        <v>105</v>
      </c>
      <c r="H18" s="52" t="s">
        <v>105</v>
      </c>
      <c r="I18" s="52"/>
      <c r="J18" s="207"/>
      <c r="K18" s="69"/>
    </row>
    <row r="19" spans="1:11" s="6" customFormat="1" ht="12.75" customHeight="1">
      <c r="A19" s="104">
        <v>2.18</v>
      </c>
      <c r="B19" s="157" t="s">
        <v>1037</v>
      </c>
      <c r="C19" s="37" t="s">
        <v>782</v>
      </c>
      <c r="D19" s="106" t="s">
        <v>144</v>
      </c>
      <c r="E19" s="107" t="s">
        <v>1038</v>
      </c>
      <c r="F19" s="52" t="s">
        <v>105</v>
      </c>
      <c r="G19" s="52" t="s">
        <v>105</v>
      </c>
      <c r="H19" s="52" t="s">
        <v>105</v>
      </c>
      <c r="I19" s="52"/>
      <c r="J19" s="207"/>
      <c r="K19" s="69"/>
    </row>
    <row r="20" spans="1:11" s="6" customFormat="1" ht="12.75" customHeight="1">
      <c r="A20" s="104">
        <v>2.18</v>
      </c>
      <c r="B20" s="157" t="s">
        <v>1054</v>
      </c>
      <c r="C20" s="37" t="s">
        <v>782</v>
      </c>
      <c r="D20" s="106" t="s">
        <v>144</v>
      </c>
      <c r="E20" s="107" t="s">
        <v>1053</v>
      </c>
      <c r="F20" s="52" t="s">
        <v>105</v>
      </c>
      <c r="G20" s="52" t="s">
        <v>105</v>
      </c>
      <c r="H20" s="52" t="s">
        <v>105</v>
      </c>
      <c r="I20" s="52"/>
      <c r="J20" s="207"/>
      <c r="K20" s="69"/>
    </row>
    <row r="21" spans="1:11" s="6" customFormat="1" ht="12.75" customHeight="1">
      <c r="A21" s="104">
        <v>2.18</v>
      </c>
      <c r="B21" s="157" t="s">
        <v>1113</v>
      </c>
      <c r="C21" s="37" t="s">
        <v>782</v>
      </c>
      <c r="D21" s="106" t="s">
        <v>144</v>
      </c>
      <c r="E21" s="107" t="s">
        <v>1112</v>
      </c>
      <c r="F21" s="52" t="s">
        <v>105</v>
      </c>
      <c r="G21" s="52" t="s">
        <v>105</v>
      </c>
      <c r="H21" s="52" t="s">
        <v>105</v>
      </c>
      <c r="I21" s="52"/>
      <c r="J21" s="207"/>
      <c r="K21" s="69"/>
    </row>
    <row r="22" spans="1:11" s="6" customFormat="1" ht="12.75" customHeight="1">
      <c r="A22" s="104">
        <v>2.18</v>
      </c>
      <c r="B22" s="157" t="s">
        <v>904</v>
      </c>
      <c r="C22" s="37" t="s">
        <v>782</v>
      </c>
      <c r="D22" s="106" t="s">
        <v>144</v>
      </c>
      <c r="E22" s="107" t="s">
        <v>1157</v>
      </c>
      <c r="F22" s="52" t="s">
        <v>105</v>
      </c>
      <c r="G22" s="52" t="s">
        <v>105</v>
      </c>
      <c r="H22" s="52" t="s">
        <v>105</v>
      </c>
      <c r="I22" s="52"/>
      <c r="J22" s="207"/>
      <c r="K22" s="69"/>
    </row>
    <row r="23" spans="1:11" s="6" customFormat="1" ht="12.75" customHeight="1">
      <c r="A23" s="104">
        <v>2.18</v>
      </c>
      <c r="B23" s="157" t="s">
        <v>1190</v>
      </c>
      <c r="C23" s="37" t="s">
        <v>782</v>
      </c>
      <c r="D23" s="106" t="s">
        <v>144</v>
      </c>
      <c r="E23" s="107" t="s">
        <v>1191</v>
      </c>
      <c r="F23" s="52" t="s">
        <v>105</v>
      </c>
      <c r="G23" s="52" t="s">
        <v>105</v>
      </c>
      <c r="H23" s="52" t="s">
        <v>105</v>
      </c>
      <c r="I23" s="52"/>
      <c r="J23" s="207"/>
      <c r="K23" s="69"/>
    </row>
    <row r="24" spans="1:11" s="6" customFormat="1" ht="12.75" customHeight="1">
      <c r="A24" s="104">
        <v>2.18</v>
      </c>
      <c r="B24" s="157" t="s">
        <v>1251</v>
      </c>
      <c r="C24" s="37" t="s">
        <v>782</v>
      </c>
      <c r="D24" s="106" t="s">
        <v>144</v>
      </c>
      <c r="E24" s="107" t="s">
        <v>1252</v>
      </c>
      <c r="F24" s="52" t="s">
        <v>105</v>
      </c>
      <c r="G24" s="52" t="s">
        <v>105</v>
      </c>
      <c r="H24" s="52" t="s">
        <v>105</v>
      </c>
      <c r="I24" s="52"/>
      <c r="J24" s="207"/>
      <c r="K24" s="69"/>
    </row>
    <row r="25" spans="1:11" s="6" customFormat="1" ht="12.75" customHeight="1">
      <c r="A25" s="104">
        <v>2.18</v>
      </c>
      <c r="B25" s="157" t="s">
        <v>1331</v>
      </c>
      <c r="C25" s="37" t="s">
        <v>782</v>
      </c>
      <c r="D25" s="106" t="s">
        <v>144</v>
      </c>
      <c r="E25" s="107" t="s">
        <v>1332</v>
      </c>
      <c r="F25" s="52" t="s">
        <v>105</v>
      </c>
      <c r="G25" s="52" t="s">
        <v>105</v>
      </c>
      <c r="H25" s="52" t="s">
        <v>105</v>
      </c>
      <c r="I25" s="52"/>
      <c r="J25" s="207"/>
      <c r="K25" s="69"/>
    </row>
    <row r="26" spans="1:11" s="6" customFormat="1" ht="12.75" customHeight="1">
      <c r="A26" s="104">
        <v>2.18</v>
      </c>
      <c r="B26" s="157" t="s">
        <v>1364</v>
      </c>
      <c r="C26" s="37" t="s">
        <v>782</v>
      </c>
      <c r="D26" s="106" t="s">
        <v>144</v>
      </c>
      <c r="E26" s="107" t="s">
        <v>1365</v>
      </c>
      <c r="F26" s="52" t="s">
        <v>105</v>
      </c>
      <c r="G26" s="52" t="s">
        <v>105</v>
      </c>
      <c r="H26" s="52" t="s">
        <v>105</v>
      </c>
      <c r="I26" s="52"/>
      <c r="J26" s="207"/>
      <c r="K26" s="69"/>
    </row>
    <row r="27" spans="1:11" s="6" customFormat="1" ht="12.75" customHeight="1">
      <c r="A27" s="104">
        <v>2.18</v>
      </c>
      <c r="B27" s="157" t="s">
        <v>1739</v>
      </c>
      <c r="C27" s="37" t="s">
        <v>782</v>
      </c>
      <c r="D27" s="106" t="s">
        <v>144</v>
      </c>
      <c r="E27" s="107" t="s">
        <v>1738</v>
      </c>
      <c r="F27" s="52" t="s">
        <v>105</v>
      </c>
      <c r="G27" s="52" t="s">
        <v>105</v>
      </c>
      <c r="H27" s="52" t="s">
        <v>105</v>
      </c>
      <c r="I27" s="52"/>
      <c r="J27" s="207"/>
      <c r="K27" s="69"/>
    </row>
    <row r="28" spans="1:11" s="6" customFormat="1" ht="12.75" customHeight="1">
      <c r="A28" s="104">
        <v>2.145</v>
      </c>
      <c r="B28" s="157" t="s">
        <v>1863</v>
      </c>
      <c r="C28" s="37" t="s">
        <v>1862</v>
      </c>
      <c r="D28" s="106" t="s">
        <v>144</v>
      </c>
      <c r="E28" s="107" t="s">
        <v>1865</v>
      </c>
      <c r="F28" s="52" t="s">
        <v>105</v>
      </c>
      <c r="G28" s="52" t="s">
        <v>105</v>
      </c>
      <c r="H28" s="52" t="s">
        <v>105</v>
      </c>
      <c r="I28" s="52"/>
      <c r="J28" s="207"/>
      <c r="K28" s="69"/>
    </row>
    <row r="29" spans="1:11" s="6" customFormat="1" ht="12.75" customHeight="1">
      <c r="A29" s="104">
        <v>2.145</v>
      </c>
      <c r="B29" s="157" t="s">
        <v>1864</v>
      </c>
      <c r="C29" s="37" t="s">
        <v>1862</v>
      </c>
      <c r="D29" s="106" t="s">
        <v>144</v>
      </c>
      <c r="E29" s="107" t="s">
        <v>1866</v>
      </c>
      <c r="F29" s="52" t="s">
        <v>105</v>
      </c>
      <c r="G29" s="52" t="s">
        <v>105</v>
      </c>
      <c r="H29" s="52" t="s">
        <v>105</v>
      </c>
      <c r="I29" s="52"/>
      <c r="J29" s="207"/>
      <c r="K29" s="69"/>
    </row>
    <row r="30" spans="1:11" s="5" customFormat="1" ht="12.75" customHeight="1">
      <c r="A30" s="160">
        <v>1.193</v>
      </c>
      <c r="B30" s="185" t="s">
        <v>1265</v>
      </c>
      <c r="C30" s="33" t="s">
        <v>1262</v>
      </c>
      <c r="D30" s="106" t="s">
        <v>144</v>
      </c>
      <c r="E30" s="186" t="s">
        <v>1266</v>
      </c>
      <c r="F30" s="52" t="s">
        <v>105</v>
      </c>
      <c r="G30" s="52" t="s">
        <v>105</v>
      </c>
      <c r="H30" s="52" t="s">
        <v>105</v>
      </c>
      <c r="I30" s="52"/>
      <c r="J30" s="207"/>
      <c r="K30" s="69"/>
    </row>
    <row r="31" spans="1:11" s="5" customFormat="1" ht="12.75" customHeight="1">
      <c r="A31" s="160">
        <v>2.392</v>
      </c>
      <c r="B31" s="185" t="s">
        <v>1611</v>
      </c>
      <c r="C31" s="33" t="s">
        <v>1374</v>
      </c>
      <c r="D31" s="106" t="s">
        <v>144</v>
      </c>
      <c r="E31" s="186" t="s">
        <v>1612</v>
      </c>
      <c r="F31" s="52" t="s">
        <v>105</v>
      </c>
      <c r="G31" s="52" t="s">
        <v>105</v>
      </c>
      <c r="H31" s="52" t="s">
        <v>105</v>
      </c>
      <c r="I31" s="52"/>
      <c r="J31" s="207"/>
      <c r="K31" s="69"/>
    </row>
    <row r="32" spans="1:11" s="5" customFormat="1" ht="12.75" customHeight="1">
      <c r="A32" s="160">
        <v>2.392</v>
      </c>
      <c r="B32" s="185" t="s">
        <v>1620</v>
      </c>
      <c r="C32" s="33" t="s">
        <v>1374</v>
      </c>
      <c r="D32" s="106" t="s">
        <v>144</v>
      </c>
      <c r="E32" s="186" t="s">
        <v>1619</v>
      </c>
      <c r="F32" s="52" t="s">
        <v>105</v>
      </c>
      <c r="G32" s="52" t="s">
        <v>105</v>
      </c>
      <c r="H32" s="52" t="s">
        <v>105</v>
      </c>
      <c r="I32" s="52"/>
      <c r="J32" s="207"/>
      <c r="K32" s="69"/>
    </row>
    <row r="33" spans="1:11" s="5" customFormat="1" ht="12.75" customHeight="1">
      <c r="A33" s="160">
        <v>2.394</v>
      </c>
      <c r="B33" s="185" t="s">
        <v>1423</v>
      </c>
      <c r="C33" s="33" t="s">
        <v>1886</v>
      </c>
      <c r="D33" s="106" t="s">
        <v>144</v>
      </c>
      <c r="E33" s="186" t="s">
        <v>1424</v>
      </c>
      <c r="F33" s="52" t="s">
        <v>105</v>
      </c>
      <c r="G33" s="52" t="s">
        <v>105</v>
      </c>
      <c r="H33" s="52" t="s">
        <v>105</v>
      </c>
      <c r="I33" s="52"/>
      <c r="J33" s="207"/>
      <c r="K33" s="69"/>
    </row>
    <row r="34" spans="1:11" s="5" customFormat="1" ht="12.75" customHeight="1">
      <c r="A34" s="160">
        <v>2.394</v>
      </c>
      <c r="B34" s="185" t="s">
        <v>1510</v>
      </c>
      <c r="C34" s="33" t="s">
        <v>1886</v>
      </c>
      <c r="D34" s="106" t="s">
        <v>144</v>
      </c>
      <c r="E34" s="186" t="s">
        <v>1512</v>
      </c>
      <c r="F34" s="52" t="s">
        <v>105</v>
      </c>
      <c r="G34" s="52" t="s">
        <v>105</v>
      </c>
      <c r="H34" s="52" t="s">
        <v>105</v>
      </c>
      <c r="I34" s="52"/>
      <c r="J34" s="207"/>
      <c r="K34" s="69"/>
    </row>
    <row r="35" spans="1:11" s="5" customFormat="1" ht="12.75" customHeight="1">
      <c r="A35" s="160">
        <v>2.394</v>
      </c>
      <c r="B35" s="185" t="s">
        <v>1614</v>
      </c>
      <c r="C35" s="33" t="s">
        <v>1886</v>
      </c>
      <c r="D35" s="106" t="s">
        <v>144</v>
      </c>
      <c r="E35" s="186" t="s">
        <v>1615</v>
      </c>
      <c r="F35" s="52" t="s">
        <v>105</v>
      </c>
      <c r="G35" s="52" t="s">
        <v>105</v>
      </c>
      <c r="H35" s="52" t="s">
        <v>105</v>
      </c>
      <c r="I35" s="52"/>
      <c r="J35" s="207"/>
      <c r="K35" s="69"/>
    </row>
    <row r="36" spans="1:11" s="5" customFormat="1" ht="12.75" customHeight="1">
      <c r="A36" s="160">
        <v>2.394</v>
      </c>
      <c r="B36" s="185" t="s">
        <v>1511</v>
      </c>
      <c r="C36" s="33" t="s">
        <v>1886</v>
      </c>
      <c r="D36" s="106" t="s">
        <v>144</v>
      </c>
      <c r="E36" s="186" t="s">
        <v>1613</v>
      </c>
      <c r="F36" s="52" t="s">
        <v>105</v>
      </c>
      <c r="G36" s="52" t="s">
        <v>105</v>
      </c>
      <c r="H36" s="52" t="s">
        <v>105</v>
      </c>
      <c r="I36" s="52"/>
      <c r="J36" s="207"/>
      <c r="K36" s="69"/>
    </row>
    <row r="37" spans="1:11" s="6" customFormat="1" ht="12.75" customHeight="1">
      <c r="A37" s="104">
        <v>2.302</v>
      </c>
      <c r="B37" s="105" t="s">
        <v>1124</v>
      </c>
      <c r="C37" s="141" t="s">
        <v>309</v>
      </c>
      <c r="D37" s="106" t="s">
        <v>144</v>
      </c>
      <c r="E37" s="107" t="s">
        <v>1125</v>
      </c>
      <c r="F37" s="52" t="s">
        <v>105</v>
      </c>
      <c r="G37" s="52" t="s">
        <v>105</v>
      </c>
      <c r="H37" s="52" t="s">
        <v>105</v>
      </c>
      <c r="I37" s="52"/>
      <c r="J37" s="207"/>
      <c r="K37" s="69"/>
    </row>
    <row r="38" spans="1:11" s="6" customFormat="1" ht="12.75" customHeight="1">
      <c r="A38" s="104">
        <v>2.324</v>
      </c>
      <c r="B38" s="105" t="s">
        <v>1361</v>
      </c>
      <c r="C38" s="31" t="s">
        <v>472</v>
      </c>
      <c r="D38" s="106" t="s">
        <v>144</v>
      </c>
      <c r="E38" s="107" t="s">
        <v>1270</v>
      </c>
      <c r="F38" s="52" t="s">
        <v>105</v>
      </c>
      <c r="G38" s="52" t="s">
        <v>105</v>
      </c>
      <c r="H38" s="52" t="s">
        <v>105</v>
      </c>
      <c r="I38" s="52"/>
      <c r="J38" s="207"/>
      <c r="K38" s="69"/>
    </row>
    <row r="39" spans="1:11" s="6" customFormat="1" ht="12.75" customHeight="1">
      <c r="A39" s="104">
        <v>2.324</v>
      </c>
      <c r="B39" s="105" t="s">
        <v>1291</v>
      </c>
      <c r="C39" s="31" t="s">
        <v>472</v>
      </c>
      <c r="D39" s="106" t="s">
        <v>144</v>
      </c>
      <c r="E39" s="107" t="s">
        <v>1292</v>
      </c>
      <c r="F39" s="52" t="s">
        <v>105</v>
      </c>
      <c r="G39" s="52" t="s">
        <v>105</v>
      </c>
      <c r="H39" s="52" t="s">
        <v>105</v>
      </c>
      <c r="I39" s="52"/>
      <c r="J39" s="207"/>
      <c r="K39" s="69"/>
    </row>
    <row r="40" spans="1:11" s="6" customFormat="1" ht="12.75" customHeight="1">
      <c r="A40" s="104">
        <v>2.324</v>
      </c>
      <c r="B40" s="105" t="s">
        <v>178</v>
      </c>
      <c r="C40" s="31" t="s">
        <v>472</v>
      </c>
      <c r="D40" s="106" t="s">
        <v>144</v>
      </c>
      <c r="E40" s="107" t="s">
        <v>548</v>
      </c>
      <c r="F40" s="52" t="s">
        <v>105</v>
      </c>
      <c r="G40" s="52" t="s">
        <v>105</v>
      </c>
      <c r="H40" s="52" t="s">
        <v>105</v>
      </c>
      <c r="I40" s="52"/>
      <c r="J40" s="207"/>
      <c r="K40" s="69"/>
    </row>
    <row r="41" spans="1:11" s="6" customFormat="1" ht="12.75" customHeight="1">
      <c r="A41" s="104">
        <v>2.324</v>
      </c>
      <c r="B41" s="105" t="s">
        <v>702</v>
      </c>
      <c r="C41" s="31" t="s">
        <v>472</v>
      </c>
      <c r="D41" s="106" t="s">
        <v>144</v>
      </c>
      <c r="E41" s="107" t="s">
        <v>881</v>
      </c>
      <c r="F41" s="52" t="s">
        <v>105</v>
      </c>
      <c r="G41" s="52" t="s">
        <v>105</v>
      </c>
      <c r="H41" s="52" t="s">
        <v>105</v>
      </c>
      <c r="I41" s="52"/>
      <c r="J41" s="207"/>
      <c r="K41" s="69" t="s">
        <v>105</v>
      </c>
    </row>
    <row r="42" spans="1:11" s="6" customFormat="1" ht="12.75" customHeight="1">
      <c r="A42" s="104">
        <v>2.324</v>
      </c>
      <c r="B42" s="105" t="s">
        <v>179</v>
      </c>
      <c r="C42" s="31" t="s">
        <v>472</v>
      </c>
      <c r="D42" s="106" t="s">
        <v>144</v>
      </c>
      <c r="E42" s="107" t="s">
        <v>552</v>
      </c>
      <c r="F42" s="52" t="s">
        <v>105</v>
      </c>
      <c r="G42" s="52" t="s">
        <v>105</v>
      </c>
      <c r="H42" s="52" t="s">
        <v>105</v>
      </c>
      <c r="I42" s="52"/>
      <c r="J42" s="207"/>
      <c r="K42" s="69"/>
    </row>
    <row r="43" spans="1:11" s="6" customFormat="1" ht="12.75" customHeight="1">
      <c r="A43" s="104">
        <v>2.324</v>
      </c>
      <c r="B43" s="105" t="s">
        <v>180</v>
      </c>
      <c r="C43" s="31" t="s">
        <v>472</v>
      </c>
      <c r="D43" s="106" t="s">
        <v>144</v>
      </c>
      <c r="E43" s="107" t="s">
        <v>554</v>
      </c>
      <c r="F43" s="52" t="s">
        <v>105</v>
      </c>
      <c r="G43" s="52" t="s">
        <v>105</v>
      </c>
      <c r="H43" s="52" t="s">
        <v>105</v>
      </c>
      <c r="I43" s="52"/>
      <c r="J43" s="207"/>
      <c r="K43" s="69"/>
    </row>
    <row r="44" spans="1:11" s="6" customFormat="1" ht="12.75" customHeight="1">
      <c r="A44" s="104">
        <v>2.324</v>
      </c>
      <c r="B44" s="105" t="s">
        <v>181</v>
      </c>
      <c r="C44" s="31" t="s">
        <v>472</v>
      </c>
      <c r="D44" s="106" t="s">
        <v>144</v>
      </c>
      <c r="E44" s="107" t="s">
        <v>553</v>
      </c>
      <c r="F44" s="52" t="s">
        <v>105</v>
      </c>
      <c r="G44" s="52" t="s">
        <v>105</v>
      </c>
      <c r="H44" s="52" t="s">
        <v>105</v>
      </c>
      <c r="I44" s="52"/>
      <c r="J44" s="207"/>
      <c r="K44" s="69"/>
    </row>
    <row r="45" spans="1:11" s="6" customFormat="1" ht="12.75" customHeight="1">
      <c r="A45" s="104">
        <v>2.324</v>
      </c>
      <c r="B45" s="105" t="s">
        <v>182</v>
      </c>
      <c r="C45" s="31" t="s">
        <v>472</v>
      </c>
      <c r="D45" s="106" t="s">
        <v>144</v>
      </c>
      <c r="E45" s="107" t="s">
        <v>551</v>
      </c>
      <c r="F45" s="52" t="s">
        <v>105</v>
      </c>
      <c r="G45" s="52" t="s">
        <v>105</v>
      </c>
      <c r="H45" s="52" t="s">
        <v>105</v>
      </c>
      <c r="I45" s="52"/>
      <c r="J45" s="207"/>
      <c r="K45" s="69"/>
    </row>
    <row r="46" spans="1:11" s="6" customFormat="1" ht="12.75" customHeight="1">
      <c r="A46" s="104">
        <v>2.324</v>
      </c>
      <c r="B46" s="105" t="s">
        <v>672</v>
      </c>
      <c r="C46" s="31" t="s">
        <v>472</v>
      </c>
      <c r="D46" s="106" t="s">
        <v>144</v>
      </c>
      <c r="E46" s="107" t="s">
        <v>549</v>
      </c>
      <c r="F46" s="52" t="s">
        <v>105</v>
      </c>
      <c r="G46" s="52" t="s">
        <v>105</v>
      </c>
      <c r="H46" s="52" t="s">
        <v>105</v>
      </c>
      <c r="I46" s="52"/>
      <c r="J46" s="207"/>
      <c r="K46" s="69"/>
    </row>
    <row r="47" spans="1:11" s="6" customFormat="1" ht="12.75" customHeight="1">
      <c r="A47" s="104">
        <v>2.324</v>
      </c>
      <c r="B47" s="105" t="s">
        <v>671</v>
      </c>
      <c r="C47" s="31" t="s">
        <v>472</v>
      </c>
      <c r="D47" s="106" t="s">
        <v>144</v>
      </c>
      <c r="E47" s="107" t="s">
        <v>550</v>
      </c>
      <c r="F47" s="52" t="s">
        <v>105</v>
      </c>
      <c r="G47" s="52" t="s">
        <v>105</v>
      </c>
      <c r="H47" s="52" t="s">
        <v>105</v>
      </c>
      <c r="I47" s="52"/>
      <c r="J47" s="207"/>
      <c r="K47" s="69"/>
    </row>
    <row r="48" spans="1:11" s="6" customFormat="1" ht="12.75" customHeight="1">
      <c r="A48" s="104">
        <v>2.324</v>
      </c>
      <c r="B48" s="105" t="s">
        <v>904</v>
      </c>
      <c r="C48" s="31" t="s">
        <v>472</v>
      </c>
      <c r="D48" s="106" t="s">
        <v>144</v>
      </c>
      <c r="E48" s="107" t="s">
        <v>905</v>
      </c>
      <c r="F48" s="52" t="s">
        <v>105</v>
      </c>
      <c r="G48" s="52" t="s">
        <v>105</v>
      </c>
      <c r="H48" s="52" t="s">
        <v>105</v>
      </c>
      <c r="I48" s="52"/>
      <c r="J48" s="207"/>
      <c r="K48" s="69"/>
    </row>
    <row r="49" spans="1:11" s="6" customFormat="1" ht="12.75" customHeight="1">
      <c r="A49" s="104">
        <v>2.324</v>
      </c>
      <c r="B49" s="105" t="s">
        <v>1017</v>
      </c>
      <c r="C49" s="31" t="s">
        <v>472</v>
      </c>
      <c r="D49" s="106" t="s">
        <v>144</v>
      </c>
      <c r="E49" s="107" t="s">
        <v>1016</v>
      </c>
      <c r="F49" s="52" t="s">
        <v>105</v>
      </c>
      <c r="G49" s="52" t="s">
        <v>105</v>
      </c>
      <c r="H49" s="52" t="s">
        <v>105</v>
      </c>
      <c r="I49" s="52"/>
      <c r="J49" s="207"/>
      <c r="K49" s="69"/>
    </row>
    <row r="50" spans="1:11" s="6" customFormat="1" ht="12.75" customHeight="1">
      <c r="A50" s="104">
        <v>2.324</v>
      </c>
      <c r="B50" s="105" t="s">
        <v>1644</v>
      </c>
      <c r="C50" s="31" t="s">
        <v>472</v>
      </c>
      <c r="D50" s="106" t="s">
        <v>144</v>
      </c>
      <c r="E50" s="107" t="s">
        <v>1643</v>
      </c>
      <c r="F50" s="52" t="s">
        <v>105</v>
      </c>
      <c r="G50" s="52" t="s">
        <v>105</v>
      </c>
      <c r="H50" s="52" t="s">
        <v>105</v>
      </c>
      <c r="I50" s="52"/>
      <c r="J50" s="207"/>
      <c r="K50" s="69"/>
    </row>
    <row r="51" spans="1:11" s="6" customFormat="1" ht="12.75" customHeight="1">
      <c r="A51" s="104">
        <v>2.367</v>
      </c>
      <c r="B51" s="105" t="s">
        <v>1905</v>
      </c>
      <c r="C51" s="31" t="s">
        <v>1052</v>
      </c>
      <c r="D51" s="106" t="s">
        <v>144</v>
      </c>
      <c r="E51" s="107" t="s">
        <v>1906</v>
      </c>
      <c r="F51" s="52" t="s">
        <v>105</v>
      </c>
      <c r="G51" s="52" t="s">
        <v>105</v>
      </c>
      <c r="H51" s="52" t="s">
        <v>105</v>
      </c>
      <c r="I51" s="52"/>
      <c r="J51" s="207"/>
      <c r="K51" s="69"/>
    </row>
    <row r="52" spans="1:11" s="6" customFormat="1" ht="12.75" customHeight="1">
      <c r="A52" s="104">
        <v>2.367</v>
      </c>
      <c r="B52" s="105" t="s">
        <v>1838</v>
      </c>
      <c r="C52" s="31" t="s">
        <v>1052</v>
      </c>
      <c r="D52" s="106" t="s">
        <v>144</v>
      </c>
      <c r="E52" s="107" t="s">
        <v>1837</v>
      </c>
      <c r="F52" s="52" t="s">
        <v>105</v>
      </c>
      <c r="G52" s="52" t="s">
        <v>105</v>
      </c>
      <c r="H52" s="52" t="s">
        <v>105</v>
      </c>
      <c r="I52" s="52"/>
      <c r="J52" s="207"/>
      <c r="K52" s="69"/>
    </row>
    <row r="53" spans="1:11" s="6" customFormat="1" ht="12.75" customHeight="1">
      <c r="A53" s="104">
        <v>2.367</v>
      </c>
      <c r="B53" s="105" t="s">
        <v>1646</v>
      </c>
      <c r="C53" s="31" t="s">
        <v>1052</v>
      </c>
      <c r="D53" s="106" t="s">
        <v>144</v>
      </c>
      <c r="E53" s="107" t="s">
        <v>1645</v>
      </c>
      <c r="F53" s="52" t="s">
        <v>105</v>
      </c>
      <c r="G53" s="52" t="s">
        <v>105</v>
      </c>
      <c r="H53" s="52" t="s">
        <v>105</v>
      </c>
      <c r="I53" s="52"/>
      <c r="J53" s="207"/>
      <c r="K53" s="69"/>
    </row>
    <row r="54" spans="1:11" s="6" customFormat="1" ht="12.75" customHeight="1">
      <c r="A54" s="104">
        <v>2.367</v>
      </c>
      <c r="B54" s="105" t="s">
        <v>1638</v>
      </c>
      <c r="C54" s="31" t="s">
        <v>1052</v>
      </c>
      <c r="D54" s="106" t="s">
        <v>144</v>
      </c>
      <c r="E54" s="107" t="s">
        <v>1637</v>
      </c>
      <c r="F54" s="52" t="s">
        <v>105</v>
      </c>
      <c r="G54" s="52" t="s">
        <v>105</v>
      </c>
      <c r="H54" s="52" t="s">
        <v>105</v>
      </c>
      <c r="I54" s="52"/>
      <c r="J54" s="207"/>
      <c r="K54" s="69"/>
    </row>
    <row r="55" spans="1:11" s="6" customFormat="1" ht="12.75" customHeight="1">
      <c r="A55" s="104">
        <v>2.367</v>
      </c>
      <c r="B55" s="105" t="s">
        <v>1386</v>
      </c>
      <c r="C55" s="31" t="s">
        <v>1052</v>
      </c>
      <c r="D55" s="106" t="s">
        <v>144</v>
      </c>
      <c r="E55" s="107" t="s">
        <v>1387</v>
      </c>
      <c r="F55" s="52" t="s">
        <v>105</v>
      </c>
      <c r="G55" s="52" t="s">
        <v>105</v>
      </c>
      <c r="H55" s="52" t="s">
        <v>105</v>
      </c>
      <c r="I55" s="52"/>
      <c r="J55" s="207"/>
      <c r="K55" s="69"/>
    </row>
    <row r="56" spans="1:11" s="6" customFormat="1" ht="12.75" customHeight="1">
      <c r="A56" s="104">
        <v>2.367</v>
      </c>
      <c r="B56" s="105" t="s">
        <v>1333</v>
      </c>
      <c r="C56" s="31" t="s">
        <v>1052</v>
      </c>
      <c r="D56" s="106" t="s">
        <v>144</v>
      </c>
      <c r="E56" s="107" t="s">
        <v>1334</v>
      </c>
      <c r="F56" s="52" t="s">
        <v>105</v>
      </c>
      <c r="G56" s="52" t="s">
        <v>105</v>
      </c>
      <c r="H56" s="52" t="s">
        <v>105</v>
      </c>
      <c r="I56" s="52"/>
      <c r="J56" s="207"/>
      <c r="K56" s="69"/>
    </row>
    <row r="57" spans="1:11" s="6" customFormat="1" ht="12.75" customHeight="1">
      <c r="A57" s="104">
        <v>2.367</v>
      </c>
      <c r="B57" s="105" t="s">
        <v>1067</v>
      </c>
      <c r="C57" s="31" t="s">
        <v>1052</v>
      </c>
      <c r="D57" s="106" t="s">
        <v>144</v>
      </c>
      <c r="E57" s="107" t="s">
        <v>1310</v>
      </c>
      <c r="F57" s="52" t="s">
        <v>105</v>
      </c>
      <c r="G57" s="52" t="s">
        <v>105</v>
      </c>
      <c r="H57" s="52" t="s">
        <v>105</v>
      </c>
      <c r="I57" s="52"/>
      <c r="J57" s="207"/>
      <c r="K57" s="69"/>
    </row>
    <row r="58" spans="1:11" s="6" customFormat="1" ht="12.75" customHeight="1">
      <c r="A58" s="104">
        <v>2.367</v>
      </c>
      <c r="B58" s="105" t="s">
        <v>1256</v>
      </c>
      <c r="C58" s="31" t="s">
        <v>1052</v>
      </c>
      <c r="D58" s="106" t="s">
        <v>144</v>
      </c>
      <c r="E58" s="107" t="s">
        <v>1311</v>
      </c>
      <c r="F58" s="52" t="s">
        <v>105</v>
      </c>
      <c r="G58" s="52" t="s">
        <v>105</v>
      </c>
      <c r="H58" s="52" t="s">
        <v>105</v>
      </c>
      <c r="I58" s="52"/>
      <c r="J58" s="207"/>
      <c r="K58" s="69"/>
    </row>
    <row r="59" spans="1:11" s="6" customFormat="1" ht="12.75" customHeight="1">
      <c r="A59" s="104">
        <v>2.367</v>
      </c>
      <c r="B59" s="105" t="s">
        <v>1099</v>
      </c>
      <c r="C59" s="31" t="s">
        <v>1052</v>
      </c>
      <c r="D59" s="106" t="s">
        <v>144</v>
      </c>
      <c r="E59" s="107" t="s">
        <v>1312</v>
      </c>
      <c r="F59" s="52" t="s">
        <v>105</v>
      </c>
      <c r="G59" s="52" t="s">
        <v>105</v>
      </c>
      <c r="H59" s="52" t="s">
        <v>105</v>
      </c>
      <c r="I59" s="52"/>
      <c r="J59" s="207"/>
      <c r="K59" s="69"/>
    </row>
    <row r="60" spans="1:11" s="6" customFormat="1" ht="12.75" customHeight="1">
      <c r="A60" s="104">
        <v>2.367</v>
      </c>
      <c r="B60" s="105" t="s">
        <v>987</v>
      </c>
      <c r="C60" s="31" t="s">
        <v>1052</v>
      </c>
      <c r="D60" s="106" t="s">
        <v>144</v>
      </c>
      <c r="E60" s="107" t="s">
        <v>1313</v>
      </c>
      <c r="F60" s="52" t="s">
        <v>105</v>
      </c>
      <c r="G60" s="52" t="s">
        <v>105</v>
      </c>
      <c r="H60" s="52" t="s">
        <v>105</v>
      </c>
      <c r="I60" s="52"/>
      <c r="J60" s="207"/>
      <c r="K60" s="69"/>
    </row>
    <row r="61" spans="1:11" s="6" customFormat="1" ht="12.75" customHeight="1">
      <c r="A61" s="104">
        <v>2.367</v>
      </c>
      <c r="B61" s="105" t="s">
        <v>1264</v>
      </c>
      <c r="C61" s="31" t="s">
        <v>1052</v>
      </c>
      <c r="D61" s="106" t="s">
        <v>144</v>
      </c>
      <c r="E61" s="107" t="s">
        <v>1314</v>
      </c>
      <c r="F61" s="52" t="s">
        <v>105</v>
      </c>
      <c r="G61" s="52" t="s">
        <v>105</v>
      </c>
      <c r="H61" s="52" t="s">
        <v>105</v>
      </c>
      <c r="I61" s="52"/>
      <c r="J61" s="207"/>
      <c r="K61" s="69"/>
    </row>
    <row r="62" spans="1:11" s="6" customFormat="1" ht="12.75" customHeight="1">
      <c r="A62" s="104">
        <v>2.367</v>
      </c>
      <c r="B62" s="105" t="s">
        <v>1226</v>
      </c>
      <c r="C62" s="31" t="s">
        <v>1052</v>
      </c>
      <c r="D62" s="106" t="s">
        <v>144</v>
      </c>
      <c r="E62" s="107" t="s">
        <v>1315</v>
      </c>
      <c r="F62" s="52" t="s">
        <v>105</v>
      </c>
      <c r="G62" s="52" t="s">
        <v>105</v>
      </c>
      <c r="H62" s="52" t="s">
        <v>105</v>
      </c>
      <c r="I62" s="52"/>
      <c r="J62" s="207"/>
      <c r="K62" s="69"/>
    </row>
    <row r="63" spans="1:11" s="6" customFormat="1" ht="12.75" customHeight="1">
      <c r="A63" s="104">
        <v>2.367</v>
      </c>
      <c r="B63" s="105" t="s">
        <v>607</v>
      </c>
      <c r="C63" s="31" t="s">
        <v>1052</v>
      </c>
      <c r="D63" s="106" t="s">
        <v>144</v>
      </c>
      <c r="E63" s="107" t="s">
        <v>1308</v>
      </c>
      <c r="F63" s="52" t="s">
        <v>105</v>
      </c>
      <c r="G63" s="52" t="s">
        <v>105</v>
      </c>
      <c r="H63" s="52" t="s">
        <v>105</v>
      </c>
      <c r="I63" s="52"/>
      <c r="J63" s="207"/>
      <c r="K63" s="69"/>
    </row>
    <row r="64" spans="1:11" s="6" customFormat="1" ht="12.75" customHeight="1">
      <c r="A64" s="104">
        <v>2.367</v>
      </c>
      <c r="B64" s="105" t="s">
        <v>825</v>
      </c>
      <c r="C64" s="31" t="s">
        <v>1052</v>
      </c>
      <c r="D64" s="106" t="s">
        <v>144</v>
      </c>
      <c r="E64" s="107" t="s">
        <v>1316</v>
      </c>
      <c r="F64" s="52" t="s">
        <v>105</v>
      </c>
      <c r="G64" s="52" t="s">
        <v>105</v>
      </c>
      <c r="H64" s="52" t="s">
        <v>105</v>
      </c>
      <c r="I64" s="52"/>
      <c r="J64" s="207"/>
      <c r="K64" s="69"/>
    </row>
    <row r="65" spans="1:11" s="6" customFormat="1" ht="12.75" customHeight="1">
      <c r="A65" s="104">
        <v>2.367</v>
      </c>
      <c r="B65" s="105" t="s">
        <v>1319</v>
      </c>
      <c r="C65" s="31" t="s">
        <v>1052</v>
      </c>
      <c r="D65" s="106" t="s">
        <v>144</v>
      </c>
      <c r="E65" s="107" t="s">
        <v>1317</v>
      </c>
      <c r="F65" s="52" t="s">
        <v>105</v>
      </c>
      <c r="G65" s="52" t="s">
        <v>105</v>
      </c>
      <c r="H65" s="52" t="s">
        <v>105</v>
      </c>
      <c r="I65" s="52"/>
      <c r="J65" s="207"/>
      <c r="K65" s="69"/>
    </row>
    <row r="66" spans="1:11" s="6" customFormat="1" ht="12.75" customHeight="1">
      <c r="A66" s="104">
        <v>2.367</v>
      </c>
      <c r="B66" s="105" t="s">
        <v>877</v>
      </c>
      <c r="C66" s="31" t="s">
        <v>1052</v>
      </c>
      <c r="D66" s="106" t="s">
        <v>144</v>
      </c>
      <c r="E66" s="107" t="s">
        <v>1318</v>
      </c>
      <c r="F66" s="52" t="s">
        <v>105</v>
      </c>
      <c r="G66" s="52" t="s">
        <v>105</v>
      </c>
      <c r="H66" s="52" t="s">
        <v>105</v>
      </c>
      <c r="I66" s="52"/>
      <c r="J66" s="207"/>
      <c r="K66" s="69"/>
    </row>
    <row r="67" spans="1:11" s="6" customFormat="1" ht="12.75" customHeight="1">
      <c r="A67" s="104">
        <v>2.367</v>
      </c>
      <c r="B67" s="105" t="s">
        <v>1499</v>
      </c>
      <c r="C67" s="31" t="s">
        <v>1052</v>
      </c>
      <c r="D67" s="106" t="s">
        <v>144</v>
      </c>
      <c r="E67" s="107" t="s">
        <v>1498</v>
      </c>
      <c r="F67" s="52" t="s">
        <v>105</v>
      </c>
      <c r="G67" s="52" t="s">
        <v>105</v>
      </c>
      <c r="H67" s="52" t="s">
        <v>105</v>
      </c>
      <c r="I67" s="52"/>
      <c r="J67" s="207"/>
      <c r="K67" s="69"/>
    </row>
    <row r="68" spans="1:11" s="6" customFormat="1" ht="12.75" customHeight="1">
      <c r="A68" s="104">
        <v>2.306</v>
      </c>
      <c r="B68" s="105" t="s">
        <v>1469</v>
      </c>
      <c r="C68" s="31" t="s">
        <v>1286</v>
      </c>
      <c r="D68" s="106" t="s">
        <v>144</v>
      </c>
      <c r="E68" s="107" t="s">
        <v>1470</v>
      </c>
      <c r="F68" s="52" t="s">
        <v>105</v>
      </c>
      <c r="G68" s="52" t="s">
        <v>105</v>
      </c>
      <c r="H68" s="52" t="s">
        <v>105</v>
      </c>
      <c r="I68" s="52"/>
      <c r="J68" s="207"/>
      <c r="K68" s="69"/>
    </row>
    <row r="69" spans="1:11" s="6" customFormat="1" ht="12.75" customHeight="1">
      <c r="A69" s="104">
        <v>2.306</v>
      </c>
      <c r="B69" s="105" t="s">
        <v>1324</v>
      </c>
      <c r="C69" s="31" t="s">
        <v>1286</v>
      </c>
      <c r="D69" s="106" t="s">
        <v>144</v>
      </c>
      <c r="E69" s="107" t="s">
        <v>1428</v>
      </c>
      <c r="F69" s="52" t="s">
        <v>105</v>
      </c>
      <c r="G69" s="52" t="s">
        <v>105</v>
      </c>
      <c r="H69" s="52" t="s">
        <v>105</v>
      </c>
      <c r="I69" s="52"/>
      <c r="J69" s="207"/>
      <c r="K69" s="69"/>
    </row>
    <row r="70" spans="1:11" s="6" customFormat="1" ht="12.75" customHeight="1">
      <c r="A70" s="104">
        <v>2.306</v>
      </c>
      <c r="B70" s="105" t="s">
        <v>1067</v>
      </c>
      <c r="C70" s="31" t="s">
        <v>1286</v>
      </c>
      <c r="D70" s="106" t="s">
        <v>144</v>
      </c>
      <c r="E70" s="107" t="s">
        <v>605</v>
      </c>
      <c r="F70" s="52" t="s">
        <v>105</v>
      </c>
      <c r="G70" s="52" t="s">
        <v>105</v>
      </c>
      <c r="H70" s="52" t="s">
        <v>105</v>
      </c>
      <c r="I70" s="52"/>
      <c r="J70" s="207"/>
      <c r="K70" s="69"/>
    </row>
    <row r="71" spans="1:11" s="6" customFormat="1" ht="12.75" customHeight="1">
      <c r="A71" s="104">
        <v>2.306</v>
      </c>
      <c r="B71" s="105" t="s">
        <v>968</v>
      </c>
      <c r="C71" s="31" t="s">
        <v>1286</v>
      </c>
      <c r="D71" s="106" t="s">
        <v>144</v>
      </c>
      <c r="E71" s="107" t="s">
        <v>606</v>
      </c>
      <c r="F71" s="52" t="s">
        <v>105</v>
      </c>
      <c r="G71" s="52" t="s">
        <v>105</v>
      </c>
      <c r="H71" s="52" t="s">
        <v>105</v>
      </c>
      <c r="I71" s="52"/>
      <c r="J71" s="207"/>
      <c r="K71" s="69"/>
    </row>
    <row r="72" spans="1:11" s="6" customFormat="1" ht="12.75" customHeight="1">
      <c r="A72" s="104">
        <v>2.306</v>
      </c>
      <c r="B72" s="105" t="s">
        <v>677</v>
      </c>
      <c r="C72" s="31" t="s">
        <v>1286</v>
      </c>
      <c r="D72" s="106" t="s">
        <v>144</v>
      </c>
      <c r="E72" s="107" t="s">
        <v>1303</v>
      </c>
      <c r="F72" s="52" t="s">
        <v>105</v>
      </c>
      <c r="G72" s="52" t="s">
        <v>105</v>
      </c>
      <c r="H72" s="52" t="s">
        <v>105</v>
      </c>
      <c r="I72" s="52"/>
      <c r="J72" s="207"/>
      <c r="K72" s="69"/>
    </row>
    <row r="73" spans="1:11" s="6" customFormat="1" ht="12.75" customHeight="1">
      <c r="A73" s="104">
        <v>2.306</v>
      </c>
      <c r="B73" s="105" t="s">
        <v>678</v>
      </c>
      <c r="C73" s="31" t="s">
        <v>1286</v>
      </c>
      <c r="D73" s="106" t="s">
        <v>144</v>
      </c>
      <c r="E73" s="107" t="s">
        <v>1304</v>
      </c>
      <c r="F73" s="52" t="s">
        <v>105</v>
      </c>
      <c r="G73" s="52" t="s">
        <v>105</v>
      </c>
      <c r="H73" s="52" t="s">
        <v>105</v>
      </c>
      <c r="I73" s="52"/>
      <c r="J73" s="207"/>
      <c r="K73" s="69"/>
    </row>
    <row r="74" spans="1:11" s="6" customFormat="1" ht="12.75" customHeight="1">
      <c r="A74" s="104">
        <v>2.306</v>
      </c>
      <c r="B74" s="105" t="s">
        <v>659</v>
      </c>
      <c r="C74" s="31" t="s">
        <v>1286</v>
      </c>
      <c r="D74" s="106" t="s">
        <v>144</v>
      </c>
      <c r="E74" s="107" t="s">
        <v>1305</v>
      </c>
      <c r="F74" s="52" t="s">
        <v>105</v>
      </c>
      <c r="G74" s="52" t="s">
        <v>105</v>
      </c>
      <c r="H74" s="52" t="s">
        <v>105</v>
      </c>
      <c r="I74" s="52"/>
      <c r="J74" s="207"/>
      <c r="K74" s="69"/>
    </row>
    <row r="75" spans="1:11" s="6" customFormat="1" ht="12.75" customHeight="1">
      <c r="A75" s="104">
        <v>2.306</v>
      </c>
      <c r="B75" s="105" t="s">
        <v>660</v>
      </c>
      <c r="C75" s="31" t="s">
        <v>1286</v>
      </c>
      <c r="D75" s="106" t="s">
        <v>144</v>
      </c>
      <c r="E75" s="107" t="s">
        <v>1306</v>
      </c>
      <c r="F75" s="52" t="s">
        <v>105</v>
      </c>
      <c r="G75" s="52" t="s">
        <v>105</v>
      </c>
      <c r="H75" s="52" t="s">
        <v>105</v>
      </c>
      <c r="I75" s="52"/>
      <c r="J75" s="207"/>
      <c r="K75" s="69"/>
    </row>
    <row r="76" spans="1:11" s="6" customFormat="1" ht="12.75" customHeight="1">
      <c r="A76" s="104">
        <v>2.306</v>
      </c>
      <c r="B76" s="105" t="s">
        <v>637</v>
      </c>
      <c r="C76" s="31" t="s">
        <v>1286</v>
      </c>
      <c r="D76" s="106" t="s">
        <v>144</v>
      </c>
      <c r="E76" s="107" t="s">
        <v>1307</v>
      </c>
      <c r="F76" s="52" t="s">
        <v>105</v>
      </c>
      <c r="G76" s="52" t="s">
        <v>105</v>
      </c>
      <c r="H76" s="52" t="s">
        <v>105</v>
      </c>
      <c r="I76" s="52"/>
      <c r="J76" s="207"/>
      <c r="K76" s="69"/>
    </row>
    <row r="77" spans="1:11" s="6" customFormat="1" ht="12.75" customHeight="1" thickBot="1">
      <c r="A77" s="104">
        <v>2.306</v>
      </c>
      <c r="B77" s="105" t="s">
        <v>608</v>
      </c>
      <c r="C77" s="31" t="s">
        <v>1286</v>
      </c>
      <c r="D77" s="106" t="s">
        <v>144</v>
      </c>
      <c r="E77" s="107" t="s">
        <v>1309</v>
      </c>
      <c r="F77" s="52" t="s">
        <v>105</v>
      </c>
      <c r="G77" s="52" t="s">
        <v>105</v>
      </c>
      <c r="H77" s="52" t="s">
        <v>105</v>
      </c>
      <c r="I77" s="52"/>
      <c r="J77" s="207"/>
      <c r="K77" s="69"/>
    </row>
    <row r="78" spans="1:11" s="6" customFormat="1" ht="21" customHeight="1" thickBot="1">
      <c r="A78" s="293" t="s">
        <v>985</v>
      </c>
      <c r="B78" s="294"/>
      <c r="C78" s="294"/>
      <c r="D78" s="294"/>
      <c r="E78" s="295"/>
      <c r="F78" s="296" t="s">
        <v>87</v>
      </c>
      <c r="G78" s="297"/>
      <c r="H78" s="297"/>
      <c r="I78" s="297"/>
      <c r="J78" s="298"/>
      <c r="K78" s="190">
        <f>SUBTOTAL(3,D79:D90)</f>
        <v>12</v>
      </c>
    </row>
    <row r="79" spans="1:11" s="6" customFormat="1" ht="12.75" customHeight="1">
      <c r="A79" s="160">
        <v>2.302</v>
      </c>
      <c r="B79" s="157" t="s">
        <v>1161</v>
      </c>
      <c r="C79" s="112" t="s">
        <v>309</v>
      </c>
      <c r="D79" s="53" t="s">
        <v>985</v>
      </c>
      <c r="E79" s="107" t="s">
        <v>1158</v>
      </c>
      <c r="F79" s="52" t="s">
        <v>105</v>
      </c>
      <c r="G79" s="52" t="s">
        <v>105</v>
      </c>
      <c r="H79" s="52" t="s">
        <v>105</v>
      </c>
      <c r="I79" s="52"/>
      <c r="J79" s="207"/>
      <c r="K79" s="69"/>
    </row>
    <row r="80" spans="1:11" s="6" customFormat="1" ht="12.75" customHeight="1">
      <c r="A80" s="160">
        <v>2.302</v>
      </c>
      <c r="B80" s="157" t="s">
        <v>1064</v>
      </c>
      <c r="C80" s="112" t="s">
        <v>309</v>
      </c>
      <c r="D80" s="53" t="s">
        <v>985</v>
      </c>
      <c r="E80" s="107" t="s">
        <v>1159</v>
      </c>
      <c r="F80" s="52" t="s">
        <v>105</v>
      </c>
      <c r="G80" s="52" t="s">
        <v>105</v>
      </c>
      <c r="H80" s="52" t="s">
        <v>105</v>
      </c>
      <c r="I80" s="52"/>
      <c r="J80" s="207"/>
      <c r="K80" s="69"/>
    </row>
    <row r="81" spans="1:11" s="6" customFormat="1" ht="12.75" customHeight="1">
      <c r="A81" s="160">
        <v>2.302</v>
      </c>
      <c r="B81" s="157" t="s">
        <v>986</v>
      </c>
      <c r="C81" s="112" t="s">
        <v>309</v>
      </c>
      <c r="D81" s="53" t="s">
        <v>985</v>
      </c>
      <c r="E81" s="107" t="s">
        <v>1160</v>
      </c>
      <c r="F81" s="52" t="s">
        <v>105</v>
      </c>
      <c r="G81" s="52" t="s">
        <v>105</v>
      </c>
      <c r="H81" s="52" t="s">
        <v>105</v>
      </c>
      <c r="I81" s="52"/>
      <c r="J81" s="207"/>
      <c r="K81" s="69"/>
    </row>
    <row r="82" spans="1:11" s="6" customFormat="1" ht="12.75" customHeight="1">
      <c r="A82" s="160">
        <v>2.238</v>
      </c>
      <c r="B82" s="157" t="s">
        <v>1718</v>
      </c>
      <c r="C82" s="112" t="s">
        <v>1719</v>
      </c>
      <c r="D82" s="53" t="s">
        <v>985</v>
      </c>
      <c r="E82" s="107" t="s">
        <v>1717</v>
      </c>
      <c r="F82" s="52" t="s">
        <v>105</v>
      </c>
      <c r="G82" s="52" t="s">
        <v>105</v>
      </c>
      <c r="H82" s="52" t="s">
        <v>105</v>
      </c>
      <c r="I82" s="52"/>
      <c r="J82" s="207"/>
      <c r="K82" s="69"/>
    </row>
    <row r="83" spans="1:11" s="6" customFormat="1" ht="12.75" customHeight="1">
      <c r="A83" s="160">
        <v>2.238</v>
      </c>
      <c r="B83" s="157" t="s">
        <v>1727</v>
      </c>
      <c r="C83" s="112" t="s">
        <v>1719</v>
      </c>
      <c r="D83" s="53" t="s">
        <v>985</v>
      </c>
      <c r="E83" s="107" t="s">
        <v>1724</v>
      </c>
      <c r="F83" s="52" t="s">
        <v>105</v>
      </c>
      <c r="G83" s="52" t="s">
        <v>105</v>
      </c>
      <c r="H83" s="52" t="s">
        <v>105</v>
      </c>
      <c r="I83" s="52"/>
      <c r="J83" s="207"/>
      <c r="K83" s="69"/>
    </row>
    <row r="84" spans="1:11" s="6" customFormat="1" ht="12.75" customHeight="1">
      <c r="A84" s="160">
        <v>2.238</v>
      </c>
      <c r="B84" s="157" t="s">
        <v>1728</v>
      </c>
      <c r="C84" s="112" t="s">
        <v>1719</v>
      </c>
      <c r="D84" s="53" t="s">
        <v>985</v>
      </c>
      <c r="E84" s="107" t="s">
        <v>1725</v>
      </c>
      <c r="F84" s="52" t="s">
        <v>105</v>
      </c>
      <c r="G84" s="52" t="s">
        <v>105</v>
      </c>
      <c r="H84" s="52" t="s">
        <v>105</v>
      </c>
      <c r="I84" s="52"/>
      <c r="J84" s="207"/>
      <c r="K84" s="69"/>
    </row>
    <row r="85" spans="1:11" s="6" customFormat="1" ht="12.75" customHeight="1">
      <c r="A85" s="160">
        <v>2.238</v>
      </c>
      <c r="B85" s="157" t="s">
        <v>1732</v>
      </c>
      <c r="C85" s="112" t="s">
        <v>1719</v>
      </c>
      <c r="D85" s="53" t="s">
        <v>985</v>
      </c>
      <c r="E85" s="107" t="s">
        <v>1731</v>
      </c>
      <c r="F85" s="52" t="s">
        <v>105</v>
      </c>
      <c r="G85" s="52" t="s">
        <v>105</v>
      </c>
      <c r="H85" s="52" t="s">
        <v>105</v>
      </c>
      <c r="I85" s="52"/>
      <c r="J85" s="207"/>
      <c r="K85" s="69"/>
    </row>
    <row r="86" spans="1:11" s="6" customFormat="1" ht="12.75" customHeight="1">
      <c r="A86" s="160">
        <v>2.238</v>
      </c>
      <c r="B86" s="157" t="s">
        <v>1754</v>
      </c>
      <c r="C86" s="112" t="s">
        <v>1719</v>
      </c>
      <c r="D86" s="53" t="s">
        <v>985</v>
      </c>
      <c r="E86" s="107" t="s">
        <v>1753</v>
      </c>
      <c r="F86" s="52" t="s">
        <v>105</v>
      </c>
      <c r="G86" s="52" t="s">
        <v>105</v>
      </c>
      <c r="H86" s="52" t="s">
        <v>105</v>
      </c>
      <c r="I86" s="52"/>
      <c r="J86" s="207"/>
      <c r="K86" s="69"/>
    </row>
    <row r="87" spans="1:11" s="6" customFormat="1" ht="12.75" customHeight="1">
      <c r="A87" s="160">
        <v>2.357</v>
      </c>
      <c r="B87" s="157" t="s">
        <v>1729</v>
      </c>
      <c r="C87" s="112" t="s">
        <v>1730</v>
      </c>
      <c r="D87" s="53" t="s">
        <v>985</v>
      </c>
      <c r="E87" s="107" t="s">
        <v>1726</v>
      </c>
      <c r="F87" s="52" t="s">
        <v>105</v>
      </c>
      <c r="G87" s="52" t="s">
        <v>105</v>
      </c>
      <c r="H87" s="52" t="s">
        <v>105</v>
      </c>
      <c r="I87" s="52"/>
      <c r="J87" s="207"/>
      <c r="K87" s="69"/>
    </row>
    <row r="88" spans="1:11" s="6" customFormat="1" ht="12.75" customHeight="1">
      <c r="A88" s="160">
        <v>2.357</v>
      </c>
      <c r="B88" s="157" t="s">
        <v>1735</v>
      </c>
      <c r="C88" s="112" t="s">
        <v>1730</v>
      </c>
      <c r="D88" s="53" t="s">
        <v>985</v>
      </c>
      <c r="E88" s="107" t="s">
        <v>1734</v>
      </c>
      <c r="F88" s="52" t="s">
        <v>105</v>
      </c>
      <c r="G88" s="52" t="s">
        <v>105</v>
      </c>
      <c r="H88" s="52" t="s">
        <v>105</v>
      </c>
      <c r="I88" s="52"/>
      <c r="J88" s="207"/>
      <c r="K88" s="69"/>
    </row>
    <row r="89" spans="1:11" s="6" customFormat="1" ht="12.75" customHeight="1">
      <c r="A89" s="160">
        <v>2.285</v>
      </c>
      <c r="B89" s="157" t="s">
        <v>1714</v>
      </c>
      <c r="C89" s="112" t="s">
        <v>1716</v>
      </c>
      <c r="D89" s="53" t="s">
        <v>985</v>
      </c>
      <c r="E89" s="107" t="s">
        <v>1715</v>
      </c>
      <c r="F89" s="52" t="s">
        <v>105</v>
      </c>
      <c r="G89" s="52" t="s">
        <v>105</v>
      </c>
      <c r="H89" s="52" t="s">
        <v>105</v>
      </c>
      <c r="I89" s="52"/>
      <c r="J89" s="207"/>
      <c r="K89" s="69"/>
    </row>
    <row r="90" spans="1:11" s="6" customFormat="1" ht="12.75" customHeight="1" thickBot="1">
      <c r="A90" s="218">
        <v>4.93</v>
      </c>
      <c r="B90" s="157" t="s">
        <v>1161</v>
      </c>
      <c r="C90" s="112" t="s">
        <v>1467</v>
      </c>
      <c r="D90" s="53" t="s">
        <v>985</v>
      </c>
      <c r="E90" s="107" t="s">
        <v>1468</v>
      </c>
      <c r="F90" s="52"/>
      <c r="G90" s="52"/>
      <c r="H90" s="52"/>
      <c r="I90" s="52"/>
      <c r="J90" s="207" t="s">
        <v>105</v>
      </c>
      <c r="K90" s="69"/>
    </row>
    <row r="91" spans="1:11" s="6" customFormat="1" ht="21" customHeight="1" thickBot="1">
      <c r="A91" s="293" t="s">
        <v>145</v>
      </c>
      <c r="B91" s="294"/>
      <c r="C91" s="294"/>
      <c r="D91" s="294"/>
      <c r="E91" s="295"/>
      <c r="F91" s="296" t="s">
        <v>87</v>
      </c>
      <c r="G91" s="297"/>
      <c r="H91" s="297"/>
      <c r="I91" s="297"/>
      <c r="J91" s="298"/>
      <c r="K91" s="190">
        <f>SUBTOTAL(3,D92:D114)</f>
        <v>23</v>
      </c>
    </row>
    <row r="92" spans="1:11" s="6" customFormat="1" ht="12.75" customHeight="1">
      <c r="A92" s="104">
        <v>2.38</v>
      </c>
      <c r="B92" s="109" t="s">
        <v>1156</v>
      </c>
      <c r="C92" s="112" t="s">
        <v>473</v>
      </c>
      <c r="D92" s="52" t="s">
        <v>145</v>
      </c>
      <c r="E92" s="110" t="s">
        <v>1155</v>
      </c>
      <c r="F92" s="52" t="s">
        <v>105</v>
      </c>
      <c r="G92" s="52" t="s">
        <v>105</v>
      </c>
      <c r="H92" s="52" t="s">
        <v>105</v>
      </c>
      <c r="I92" s="66"/>
      <c r="J92" s="209"/>
      <c r="K92" s="70"/>
    </row>
    <row r="93" spans="1:11" s="6" customFormat="1" ht="12.75" customHeight="1">
      <c r="A93" s="104">
        <v>2.38</v>
      </c>
      <c r="B93" s="109" t="s">
        <v>1186</v>
      </c>
      <c r="C93" s="112" t="s">
        <v>473</v>
      </c>
      <c r="D93" s="52" t="s">
        <v>145</v>
      </c>
      <c r="E93" s="110" t="s">
        <v>1187</v>
      </c>
      <c r="F93" s="52" t="s">
        <v>105</v>
      </c>
      <c r="G93" s="52" t="s">
        <v>105</v>
      </c>
      <c r="H93" s="52" t="s">
        <v>105</v>
      </c>
      <c r="I93" s="66"/>
      <c r="J93" s="209"/>
      <c r="K93" s="70"/>
    </row>
    <row r="94" spans="1:11" s="6" customFormat="1" ht="12.75" customHeight="1">
      <c r="A94" s="108">
        <v>2.38</v>
      </c>
      <c r="B94" s="109" t="s">
        <v>1196</v>
      </c>
      <c r="C94" s="112" t="s">
        <v>473</v>
      </c>
      <c r="D94" s="52" t="s">
        <v>145</v>
      </c>
      <c r="E94" s="110" t="s">
        <v>1197</v>
      </c>
      <c r="F94" s="52" t="s">
        <v>105</v>
      </c>
      <c r="G94" s="52" t="s">
        <v>105</v>
      </c>
      <c r="H94" s="52" t="s">
        <v>105</v>
      </c>
      <c r="I94" s="66"/>
      <c r="J94" s="209"/>
      <c r="K94" s="70"/>
    </row>
    <row r="95" spans="1:11" s="6" customFormat="1" ht="12.75" customHeight="1">
      <c r="A95" s="108">
        <v>2.38</v>
      </c>
      <c r="B95" s="109" t="s">
        <v>1694</v>
      </c>
      <c r="C95" s="112" t="s">
        <v>473</v>
      </c>
      <c r="D95" s="52" t="s">
        <v>145</v>
      </c>
      <c r="E95" s="110" t="s">
        <v>1693</v>
      </c>
      <c r="F95" s="52" t="s">
        <v>105</v>
      </c>
      <c r="G95" s="52" t="s">
        <v>105</v>
      </c>
      <c r="H95" s="52" t="s">
        <v>105</v>
      </c>
      <c r="I95" s="66"/>
      <c r="J95" s="209"/>
      <c r="K95" s="70"/>
    </row>
    <row r="96" spans="1:11" s="6" customFormat="1" ht="12.75" customHeight="1">
      <c r="A96" s="108">
        <v>2.38</v>
      </c>
      <c r="B96" s="109" t="s">
        <v>1461</v>
      </c>
      <c r="C96" s="112" t="s">
        <v>473</v>
      </c>
      <c r="D96" s="52" t="s">
        <v>145</v>
      </c>
      <c r="E96" s="110" t="s">
        <v>1462</v>
      </c>
      <c r="F96" s="52" t="s">
        <v>105</v>
      </c>
      <c r="G96" s="52" t="s">
        <v>105</v>
      </c>
      <c r="H96" s="52" t="s">
        <v>105</v>
      </c>
      <c r="I96" s="66"/>
      <c r="J96" s="209"/>
      <c r="K96" s="70"/>
    </row>
    <row r="97" spans="1:11" s="6" customFormat="1" ht="12.75" customHeight="1">
      <c r="A97" s="108">
        <v>2.38</v>
      </c>
      <c r="B97" s="109" t="s">
        <v>1876</v>
      </c>
      <c r="C97" s="112" t="s">
        <v>473</v>
      </c>
      <c r="D97" s="52" t="s">
        <v>145</v>
      </c>
      <c r="E97" s="110" t="s">
        <v>1870</v>
      </c>
      <c r="F97" s="52" t="s">
        <v>105</v>
      </c>
      <c r="G97" s="52" t="s">
        <v>105</v>
      </c>
      <c r="H97" s="52" t="s">
        <v>105</v>
      </c>
      <c r="I97" s="66"/>
      <c r="J97" s="209"/>
      <c r="K97" s="70"/>
    </row>
    <row r="98" spans="1:11" s="6" customFormat="1" ht="12.75" customHeight="1">
      <c r="A98" s="108">
        <v>2.38</v>
      </c>
      <c r="B98" s="109" t="s">
        <v>1877</v>
      </c>
      <c r="C98" s="112" t="s">
        <v>473</v>
      </c>
      <c r="D98" s="52" t="s">
        <v>145</v>
      </c>
      <c r="E98" s="110" t="s">
        <v>1871</v>
      </c>
      <c r="F98" s="52" t="s">
        <v>105</v>
      </c>
      <c r="G98" s="52" t="s">
        <v>105</v>
      </c>
      <c r="H98" s="52" t="s">
        <v>105</v>
      </c>
      <c r="I98" s="66"/>
      <c r="J98" s="209"/>
      <c r="K98" s="70"/>
    </row>
    <row r="99" spans="1:11" s="6" customFormat="1" ht="12.75" customHeight="1">
      <c r="A99" s="108">
        <v>2.38</v>
      </c>
      <c r="B99" s="109" t="s">
        <v>1878</v>
      </c>
      <c r="C99" s="112" t="s">
        <v>473</v>
      </c>
      <c r="D99" s="52" t="s">
        <v>145</v>
      </c>
      <c r="E99" s="110" t="s">
        <v>1872</v>
      </c>
      <c r="F99" s="52" t="s">
        <v>105</v>
      </c>
      <c r="G99" s="52" t="s">
        <v>105</v>
      </c>
      <c r="H99" s="52" t="s">
        <v>105</v>
      </c>
      <c r="I99" s="66"/>
      <c r="J99" s="209"/>
      <c r="K99" s="70"/>
    </row>
    <row r="100" spans="1:11" s="6" customFormat="1" ht="12.75" customHeight="1">
      <c r="A100" s="108">
        <v>2.38</v>
      </c>
      <c r="B100" s="109" t="s">
        <v>1879</v>
      </c>
      <c r="C100" s="112" t="s">
        <v>473</v>
      </c>
      <c r="D100" s="52" t="s">
        <v>145</v>
      </c>
      <c r="E100" s="110" t="s">
        <v>1873</v>
      </c>
      <c r="F100" s="52" t="s">
        <v>105</v>
      </c>
      <c r="G100" s="52" t="s">
        <v>105</v>
      </c>
      <c r="H100" s="52" t="s">
        <v>105</v>
      </c>
      <c r="I100" s="66"/>
      <c r="J100" s="209"/>
      <c r="K100" s="70"/>
    </row>
    <row r="101" spans="1:11" s="6" customFormat="1" ht="12.75" customHeight="1">
      <c r="A101" s="108">
        <v>2.38</v>
      </c>
      <c r="B101" s="109" t="s">
        <v>1880</v>
      </c>
      <c r="C101" s="112" t="s">
        <v>473</v>
      </c>
      <c r="D101" s="52" t="s">
        <v>145</v>
      </c>
      <c r="E101" s="110" t="s">
        <v>1874</v>
      </c>
      <c r="F101" s="52" t="s">
        <v>105</v>
      </c>
      <c r="G101" s="52" t="s">
        <v>105</v>
      </c>
      <c r="H101" s="52" t="s">
        <v>105</v>
      </c>
      <c r="I101" s="66"/>
      <c r="J101" s="209"/>
      <c r="K101" s="70"/>
    </row>
    <row r="102" spans="1:11" s="6" customFormat="1" ht="12.75" customHeight="1">
      <c r="A102" s="108">
        <v>2.38</v>
      </c>
      <c r="B102" s="109" t="s">
        <v>1881</v>
      </c>
      <c r="C102" s="112" t="s">
        <v>473</v>
      </c>
      <c r="D102" s="52" t="s">
        <v>145</v>
      </c>
      <c r="E102" s="110" t="s">
        <v>1875</v>
      </c>
      <c r="F102" s="52" t="s">
        <v>105</v>
      </c>
      <c r="G102" s="52" t="s">
        <v>105</v>
      </c>
      <c r="H102" s="52" t="s">
        <v>105</v>
      </c>
      <c r="I102" s="66"/>
      <c r="J102" s="209"/>
      <c r="K102" s="70"/>
    </row>
    <row r="103" spans="1:11" s="6" customFormat="1" ht="12.75" customHeight="1">
      <c r="A103" s="108">
        <v>2.38</v>
      </c>
      <c r="B103" s="109" t="s">
        <v>1887</v>
      </c>
      <c r="C103" s="112" t="s">
        <v>473</v>
      </c>
      <c r="D103" s="52" t="s">
        <v>145</v>
      </c>
      <c r="E103" s="110" t="s">
        <v>1889</v>
      </c>
      <c r="F103" s="52" t="s">
        <v>105</v>
      </c>
      <c r="G103" s="52" t="s">
        <v>105</v>
      </c>
      <c r="H103" s="52" t="s">
        <v>105</v>
      </c>
      <c r="I103" s="66"/>
      <c r="J103" s="209"/>
      <c r="K103" s="70"/>
    </row>
    <row r="104" spans="1:11" s="6" customFormat="1" ht="14.25" customHeight="1">
      <c r="A104" s="108">
        <v>2.38</v>
      </c>
      <c r="B104" s="109" t="s">
        <v>1888</v>
      </c>
      <c r="C104" s="112" t="s">
        <v>473</v>
      </c>
      <c r="D104" s="52" t="s">
        <v>145</v>
      </c>
      <c r="E104" s="110" t="s">
        <v>1890</v>
      </c>
      <c r="F104" s="52" t="s">
        <v>105</v>
      </c>
      <c r="G104" s="52" t="s">
        <v>105</v>
      </c>
      <c r="H104" s="52" t="s">
        <v>105</v>
      </c>
      <c r="I104" s="66"/>
      <c r="J104" s="209"/>
      <c r="K104" s="70"/>
    </row>
    <row r="105" spans="1:11" s="6" customFormat="1" ht="14.25" customHeight="1">
      <c r="A105" s="108">
        <v>2.38</v>
      </c>
      <c r="B105" s="109" t="s">
        <v>1907</v>
      </c>
      <c r="C105" s="112" t="s">
        <v>473</v>
      </c>
      <c r="D105" s="52" t="s">
        <v>145</v>
      </c>
      <c r="E105" s="110" t="s">
        <v>1909</v>
      </c>
      <c r="F105" s="52" t="s">
        <v>105</v>
      </c>
      <c r="G105" s="52" t="s">
        <v>105</v>
      </c>
      <c r="H105" s="52" t="s">
        <v>105</v>
      </c>
      <c r="I105" s="66"/>
      <c r="J105" s="209"/>
      <c r="K105" s="70"/>
    </row>
    <row r="106" spans="1:11" s="6" customFormat="1" ht="12.75">
      <c r="A106" s="108">
        <v>2.38</v>
      </c>
      <c r="B106" s="109" t="s">
        <v>1908</v>
      </c>
      <c r="C106" s="112" t="s">
        <v>473</v>
      </c>
      <c r="D106" s="52" t="s">
        <v>145</v>
      </c>
      <c r="E106" s="110" t="s">
        <v>1910</v>
      </c>
      <c r="F106" s="52" t="s">
        <v>105</v>
      </c>
      <c r="G106" s="52" t="s">
        <v>105</v>
      </c>
      <c r="H106" s="52" t="s">
        <v>105</v>
      </c>
      <c r="I106" s="66"/>
      <c r="J106" s="209"/>
      <c r="K106" s="70"/>
    </row>
    <row r="107" spans="1:11" s="6" customFormat="1" ht="12.75" customHeight="1">
      <c r="A107" s="108">
        <v>2.302</v>
      </c>
      <c r="B107" s="109" t="s">
        <v>1327</v>
      </c>
      <c r="C107" s="111" t="s">
        <v>309</v>
      </c>
      <c r="D107" s="52" t="s">
        <v>145</v>
      </c>
      <c r="E107" s="110" t="s">
        <v>1328</v>
      </c>
      <c r="F107" s="52" t="s">
        <v>105</v>
      </c>
      <c r="G107" s="52" t="s">
        <v>105</v>
      </c>
      <c r="H107" s="52" t="s">
        <v>105</v>
      </c>
      <c r="I107" s="66"/>
      <c r="J107" s="209"/>
      <c r="K107" s="70"/>
    </row>
    <row r="108" spans="1:11" s="6" customFormat="1" ht="12.75" customHeight="1">
      <c r="A108" s="182">
        <v>2.302</v>
      </c>
      <c r="B108" s="109" t="s">
        <v>1039</v>
      </c>
      <c r="C108" s="111" t="s">
        <v>309</v>
      </c>
      <c r="D108" s="52" t="s">
        <v>145</v>
      </c>
      <c r="E108" s="110" t="s">
        <v>1040</v>
      </c>
      <c r="F108" s="52" t="s">
        <v>105</v>
      </c>
      <c r="G108" s="52" t="s">
        <v>105</v>
      </c>
      <c r="H108" s="52" t="s">
        <v>105</v>
      </c>
      <c r="I108" s="66"/>
      <c r="J108" s="209"/>
      <c r="K108" s="70"/>
    </row>
    <row r="109" spans="1:11" s="6" customFormat="1" ht="12.75" customHeight="1">
      <c r="A109" s="104">
        <v>2.302</v>
      </c>
      <c r="B109" s="105" t="s">
        <v>183</v>
      </c>
      <c r="C109" s="111" t="s">
        <v>309</v>
      </c>
      <c r="D109" s="52" t="s">
        <v>145</v>
      </c>
      <c r="E109" s="107" t="s">
        <v>555</v>
      </c>
      <c r="F109" s="52" t="s">
        <v>105</v>
      </c>
      <c r="G109" s="52" t="s">
        <v>105</v>
      </c>
      <c r="H109" s="52" t="s">
        <v>105</v>
      </c>
      <c r="I109" s="52"/>
      <c r="J109" s="207"/>
      <c r="K109" s="69"/>
    </row>
    <row r="110" spans="1:11" s="6" customFormat="1" ht="12.75" customHeight="1">
      <c r="A110" s="104">
        <v>2.302</v>
      </c>
      <c r="B110" s="105" t="s">
        <v>184</v>
      </c>
      <c r="C110" s="111" t="s">
        <v>309</v>
      </c>
      <c r="D110" s="52" t="s">
        <v>145</v>
      </c>
      <c r="E110" s="107" t="s">
        <v>556</v>
      </c>
      <c r="F110" s="52" t="s">
        <v>105</v>
      </c>
      <c r="G110" s="52" t="s">
        <v>105</v>
      </c>
      <c r="H110" s="52" t="s">
        <v>105</v>
      </c>
      <c r="I110" s="52"/>
      <c r="J110" s="207"/>
      <c r="K110" s="69"/>
    </row>
    <row r="111" spans="1:11" s="6" customFormat="1" ht="12.75" customHeight="1">
      <c r="A111" s="104">
        <v>2.302</v>
      </c>
      <c r="B111" s="105" t="s">
        <v>185</v>
      </c>
      <c r="C111" s="111" t="s">
        <v>309</v>
      </c>
      <c r="D111" s="52" t="s">
        <v>145</v>
      </c>
      <c r="E111" s="107" t="s">
        <v>557</v>
      </c>
      <c r="F111" s="52" t="s">
        <v>105</v>
      </c>
      <c r="G111" s="52" t="s">
        <v>105</v>
      </c>
      <c r="H111" s="52" t="s">
        <v>105</v>
      </c>
      <c r="I111" s="52"/>
      <c r="J111" s="207"/>
      <c r="K111" s="69"/>
    </row>
    <row r="112" spans="1:11" s="6" customFormat="1" ht="12.75" customHeight="1">
      <c r="A112" s="104">
        <v>2.302</v>
      </c>
      <c r="B112" s="105" t="s">
        <v>939</v>
      </c>
      <c r="C112" s="111" t="s">
        <v>309</v>
      </c>
      <c r="D112" s="52" t="s">
        <v>145</v>
      </c>
      <c r="E112" s="107" t="s">
        <v>940</v>
      </c>
      <c r="F112" s="52" t="s">
        <v>105</v>
      </c>
      <c r="G112" s="52" t="s">
        <v>105</v>
      </c>
      <c r="H112" s="52" t="s">
        <v>105</v>
      </c>
      <c r="I112" s="52"/>
      <c r="J112" s="207"/>
      <c r="K112" s="69"/>
    </row>
    <row r="113" spans="1:11" s="6" customFormat="1" ht="12.75" customHeight="1">
      <c r="A113" s="104">
        <v>2.302</v>
      </c>
      <c r="B113" s="105" t="s">
        <v>965</v>
      </c>
      <c r="C113" s="111" t="s">
        <v>309</v>
      </c>
      <c r="D113" s="52" t="s">
        <v>145</v>
      </c>
      <c r="E113" s="107" t="s">
        <v>964</v>
      </c>
      <c r="F113" s="52" t="s">
        <v>105</v>
      </c>
      <c r="G113" s="52" t="s">
        <v>105</v>
      </c>
      <c r="H113" s="52" t="s">
        <v>105</v>
      </c>
      <c r="I113" s="52"/>
      <c r="J113" s="207"/>
      <c r="K113" s="69"/>
    </row>
    <row r="114" spans="1:11" s="6" customFormat="1" ht="12.75" customHeight="1" thickBot="1">
      <c r="A114" s="104">
        <v>2.302</v>
      </c>
      <c r="B114" s="105" t="s">
        <v>967</v>
      </c>
      <c r="C114" s="111" t="s">
        <v>309</v>
      </c>
      <c r="D114" s="52" t="s">
        <v>145</v>
      </c>
      <c r="E114" s="107" t="s">
        <v>966</v>
      </c>
      <c r="F114" s="52" t="s">
        <v>105</v>
      </c>
      <c r="G114" s="52" t="s">
        <v>105</v>
      </c>
      <c r="H114" s="52" t="s">
        <v>105</v>
      </c>
      <c r="I114" s="52"/>
      <c r="J114" s="207"/>
      <c r="K114" s="69"/>
    </row>
    <row r="115" spans="1:11" s="6" customFormat="1" ht="21" customHeight="1" thickBot="1">
      <c r="A115" s="293" t="s">
        <v>146</v>
      </c>
      <c r="B115" s="294"/>
      <c r="C115" s="294"/>
      <c r="D115" s="294"/>
      <c r="E115" s="295"/>
      <c r="F115" s="296" t="s">
        <v>87</v>
      </c>
      <c r="G115" s="297"/>
      <c r="H115" s="297"/>
      <c r="I115" s="297"/>
      <c r="J115" s="298"/>
      <c r="K115" s="190">
        <f>SUBTOTAL(3,D116:D124)</f>
        <v>9</v>
      </c>
    </row>
    <row r="116" spans="1:11" s="6" customFormat="1" ht="12.75" customHeight="1">
      <c r="A116" s="160">
        <v>2.392</v>
      </c>
      <c r="B116" s="157" t="s">
        <v>1687</v>
      </c>
      <c r="C116" s="31" t="s">
        <v>1374</v>
      </c>
      <c r="D116" s="52" t="s">
        <v>146</v>
      </c>
      <c r="E116" s="103" t="s">
        <v>1686</v>
      </c>
      <c r="F116" s="53" t="s">
        <v>105</v>
      </c>
      <c r="G116" s="53" t="s">
        <v>105</v>
      </c>
      <c r="H116" s="53" t="s">
        <v>105</v>
      </c>
      <c r="I116" s="53"/>
      <c r="J116" s="208"/>
      <c r="K116" s="114"/>
    </row>
    <row r="117" spans="1:11" s="6" customFormat="1" ht="12.75" customHeight="1">
      <c r="A117" s="160">
        <v>2.392</v>
      </c>
      <c r="B117" s="157" t="s">
        <v>1642</v>
      </c>
      <c r="C117" s="31" t="s">
        <v>1374</v>
      </c>
      <c r="D117" s="52" t="s">
        <v>146</v>
      </c>
      <c r="E117" s="103" t="s">
        <v>1641</v>
      </c>
      <c r="F117" s="53" t="s">
        <v>105</v>
      </c>
      <c r="G117" s="53" t="s">
        <v>105</v>
      </c>
      <c r="H117" s="53" t="s">
        <v>105</v>
      </c>
      <c r="I117" s="53"/>
      <c r="J117" s="208"/>
      <c r="K117" s="114"/>
    </row>
    <row r="118" spans="1:11" s="6" customFormat="1" ht="12.75" customHeight="1">
      <c r="A118" s="100">
        <v>2.314</v>
      </c>
      <c r="B118" s="157" t="s">
        <v>1741</v>
      </c>
      <c r="C118" s="31" t="s">
        <v>1733</v>
      </c>
      <c r="D118" s="52" t="s">
        <v>146</v>
      </c>
      <c r="E118" s="103" t="s">
        <v>1740</v>
      </c>
      <c r="F118" s="53" t="s">
        <v>105</v>
      </c>
      <c r="G118" s="53" t="s">
        <v>105</v>
      </c>
      <c r="H118" s="53" t="s">
        <v>105</v>
      </c>
      <c r="I118" s="53"/>
      <c r="J118" s="208"/>
      <c r="K118" s="114"/>
    </row>
    <row r="119" spans="1:11" s="6" customFormat="1" ht="12.75" customHeight="1">
      <c r="A119" s="100">
        <v>2.314</v>
      </c>
      <c r="B119" s="157" t="s">
        <v>1818</v>
      </c>
      <c r="C119" s="31" t="s">
        <v>1733</v>
      </c>
      <c r="D119" s="52" t="s">
        <v>146</v>
      </c>
      <c r="E119" s="103" t="s">
        <v>1819</v>
      </c>
      <c r="F119" s="53" t="s">
        <v>105</v>
      </c>
      <c r="G119" s="53" t="s">
        <v>105</v>
      </c>
      <c r="H119" s="53" t="s">
        <v>105</v>
      </c>
      <c r="I119" s="53"/>
      <c r="J119" s="208"/>
      <c r="K119" s="114"/>
    </row>
    <row r="120" spans="1:11" s="6" customFormat="1" ht="12.75" customHeight="1">
      <c r="A120" s="100">
        <v>2.314</v>
      </c>
      <c r="B120" s="157" t="s">
        <v>1841</v>
      </c>
      <c r="C120" s="31" t="s">
        <v>1733</v>
      </c>
      <c r="D120" s="52" t="s">
        <v>146</v>
      </c>
      <c r="E120" s="103" t="s">
        <v>1842</v>
      </c>
      <c r="F120" s="53" t="s">
        <v>105</v>
      </c>
      <c r="G120" s="53" t="s">
        <v>105</v>
      </c>
      <c r="H120" s="53" t="s">
        <v>105</v>
      </c>
      <c r="I120" s="53"/>
      <c r="J120" s="208"/>
      <c r="K120" s="114"/>
    </row>
    <row r="121" spans="1:11" s="6" customFormat="1" ht="12.75" customHeight="1">
      <c r="A121" s="100">
        <v>2.314</v>
      </c>
      <c r="B121" s="157" t="s">
        <v>1891</v>
      </c>
      <c r="C121" s="31" t="s">
        <v>1733</v>
      </c>
      <c r="D121" s="52" t="s">
        <v>146</v>
      </c>
      <c r="E121" s="103" t="s">
        <v>1892</v>
      </c>
      <c r="F121" s="53" t="s">
        <v>105</v>
      </c>
      <c r="G121" s="53" t="s">
        <v>105</v>
      </c>
      <c r="H121" s="53" t="s">
        <v>105</v>
      </c>
      <c r="I121" s="53"/>
      <c r="J121" s="208"/>
      <c r="K121" s="114"/>
    </row>
    <row r="122" spans="1:11" s="6" customFormat="1" ht="12.75" customHeight="1">
      <c r="A122" s="100">
        <v>2.367</v>
      </c>
      <c r="B122" s="157" t="s">
        <v>1382</v>
      </c>
      <c r="C122" s="31" t="s">
        <v>1052</v>
      </c>
      <c r="D122" s="52" t="s">
        <v>146</v>
      </c>
      <c r="E122" s="103" t="s">
        <v>1383</v>
      </c>
      <c r="F122" s="53" t="s">
        <v>105</v>
      </c>
      <c r="G122" s="53" t="s">
        <v>105</v>
      </c>
      <c r="H122" s="53" t="s">
        <v>105</v>
      </c>
      <c r="I122" s="53"/>
      <c r="J122" s="208"/>
      <c r="K122" s="114"/>
    </row>
    <row r="123" spans="1:11" s="6" customFormat="1" ht="12.75" customHeight="1">
      <c r="A123" s="100">
        <v>2.367</v>
      </c>
      <c r="B123" s="157" t="s">
        <v>1003</v>
      </c>
      <c r="C123" s="31" t="s">
        <v>1052</v>
      </c>
      <c r="D123" s="52" t="s">
        <v>146</v>
      </c>
      <c r="E123" s="103" t="s">
        <v>1004</v>
      </c>
      <c r="F123" s="53" t="s">
        <v>105</v>
      </c>
      <c r="G123" s="53" t="s">
        <v>105</v>
      </c>
      <c r="H123" s="53" t="s">
        <v>105</v>
      </c>
      <c r="I123" s="53"/>
      <c r="J123" s="208"/>
      <c r="K123" s="114"/>
    </row>
    <row r="124" spans="1:11" s="6" customFormat="1" ht="12.75" customHeight="1" thickBot="1">
      <c r="A124" s="100">
        <v>2.367</v>
      </c>
      <c r="B124" s="105" t="s">
        <v>824</v>
      </c>
      <c r="C124" s="31" t="s">
        <v>1052</v>
      </c>
      <c r="D124" s="52" t="s">
        <v>146</v>
      </c>
      <c r="E124" s="103" t="s">
        <v>989</v>
      </c>
      <c r="F124" s="53" t="s">
        <v>105</v>
      </c>
      <c r="G124" s="53" t="s">
        <v>105</v>
      </c>
      <c r="H124" s="53" t="s">
        <v>105</v>
      </c>
      <c r="I124" s="53"/>
      <c r="J124" s="208"/>
      <c r="K124" s="114"/>
    </row>
    <row r="125" spans="1:11" s="6" customFormat="1" ht="21" customHeight="1" thickBot="1">
      <c r="A125" s="299" t="s">
        <v>819</v>
      </c>
      <c r="B125" s="300"/>
      <c r="C125" s="300"/>
      <c r="D125" s="300"/>
      <c r="E125" s="318"/>
      <c r="F125" s="296" t="s">
        <v>87</v>
      </c>
      <c r="G125" s="297"/>
      <c r="H125" s="297"/>
      <c r="I125" s="297"/>
      <c r="J125" s="298"/>
      <c r="K125" s="190">
        <f>SUBTOTAL(3,D126:D130)</f>
        <v>5</v>
      </c>
    </row>
    <row r="126" spans="1:11" s="6" customFormat="1" ht="12.75" customHeight="1">
      <c r="A126" s="161">
        <v>2.302</v>
      </c>
      <c r="B126" s="162" t="s">
        <v>1094</v>
      </c>
      <c r="C126" s="111" t="s">
        <v>309</v>
      </c>
      <c r="D126" s="53" t="s">
        <v>819</v>
      </c>
      <c r="E126" s="123" t="s">
        <v>1095</v>
      </c>
      <c r="F126" s="53" t="s">
        <v>105</v>
      </c>
      <c r="G126" s="53" t="s">
        <v>105</v>
      </c>
      <c r="H126" s="53" t="s">
        <v>105</v>
      </c>
      <c r="I126" s="53"/>
      <c r="J126" s="208"/>
      <c r="K126" s="68"/>
    </row>
    <row r="127" spans="1:11" s="6" customFormat="1" ht="12.75" customHeight="1">
      <c r="A127" s="161">
        <v>2.3302</v>
      </c>
      <c r="B127" s="162" t="s">
        <v>1703</v>
      </c>
      <c r="C127" s="111" t="s">
        <v>309</v>
      </c>
      <c r="D127" s="53" t="s">
        <v>819</v>
      </c>
      <c r="E127" s="123" t="s">
        <v>1702</v>
      </c>
      <c r="F127" s="53" t="s">
        <v>105</v>
      </c>
      <c r="G127" s="53" t="s">
        <v>105</v>
      </c>
      <c r="H127" s="53" t="s">
        <v>105</v>
      </c>
      <c r="I127" s="53"/>
      <c r="J127" s="208"/>
      <c r="K127" s="68"/>
    </row>
    <row r="128" spans="1:11" s="6" customFormat="1" ht="12.75" customHeight="1">
      <c r="A128" s="247">
        <v>1.82</v>
      </c>
      <c r="B128" s="162" t="s">
        <v>1474</v>
      </c>
      <c r="C128" s="111" t="s">
        <v>1415</v>
      </c>
      <c r="D128" s="53" t="s">
        <v>819</v>
      </c>
      <c r="E128" s="123" t="s">
        <v>1475</v>
      </c>
      <c r="F128" s="53" t="s">
        <v>105</v>
      </c>
      <c r="G128" s="53" t="s">
        <v>105</v>
      </c>
      <c r="H128" s="53" t="s">
        <v>105</v>
      </c>
      <c r="I128" s="53"/>
      <c r="J128" s="208"/>
      <c r="K128" s="68"/>
    </row>
    <row r="129" spans="1:11" s="6" customFormat="1" ht="12.75" customHeight="1">
      <c r="A129" s="161">
        <v>1.178</v>
      </c>
      <c r="B129" s="162" t="s">
        <v>1861</v>
      </c>
      <c r="C129" s="197" t="s">
        <v>954</v>
      </c>
      <c r="D129" s="53" t="s">
        <v>819</v>
      </c>
      <c r="E129" s="123" t="s">
        <v>1860</v>
      </c>
      <c r="F129" s="53" t="s">
        <v>105</v>
      </c>
      <c r="G129" s="53" t="s">
        <v>105</v>
      </c>
      <c r="H129" s="53" t="s">
        <v>105</v>
      </c>
      <c r="I129" s="53"/>
      <c r="J129" s="208"/>
      <c r="K129" s="68"/>
    </row>
    <row r="130" spans="1:11" s="6" customFormat="1" ht="12.75" customHeight="1" thickBot="1">
      <c r="A130" s="161">
        <v>1.178</v>
      </c>
      <c r="B130" s="162" t="s">
        <v>1654</v>
      </c>
      <c r="C130" s="197" t="s">
        <v>954</v>
      </c>
      <c r="D130" s="53" t="s">
        <v>819</v>
      </c>
      <c r="E130" s="123" t="s">
        <v>1655</v>
      </c>
      <c r="F130" s="52" t="s">
        <v>105</v>
      </c>
      <c r="G130" s="52" t="s">
        <v>105</v>
      </c>
      <c r="H130" s="52" t="s">
        <v>105</v>
      </c>
      <c r="I130" s="53"/>
      <c r="J130" s="208"/>
      <c r="K130" s="68"/>
    </row>
    <row r="131" spans="1:11" s="6" customFormat="1" ht="21" customHeight="1" thickBot="1">
      <c r="A131" s="299" t="s">
        <v>1843</v>
      </c>
      <c r="B131" s="300"/>
      <c r="C131" s="300"/>
      <c r="D131" s="300"/>
      <c r="E131" s="301"/>
      <c r="F131" s="296" t="s">
        <v>87</v>
      </c>
      <c r="G131" s="297"/>
      <c r="H131" s="297"/>
      <c r="I131" s="297"/>
      <c r="J131" s="298"/>
      <c r="K131" s="190">
        <f>SUBTOTAL(3,D132:D140)</f>
        <v>9</v>
      </c>
    </row>
    <row r="132" spans="1:11" s="6" customFormat="1" ht="12.75" customHeight="1">
      <c r="A132" s="161">
        <v>2.193</v>
      </c>
      <c r="B132" s="162" t="s">
        <v>1845</v>
      </c>
      <c r="C132" s="111" t="s">
        <v>1844</v>
      </c>
      <c r="D132" s="53" t="s">
        <v>1843</v>
      </c>
      <c r="E132" s="123" t="s">
        <v>1850</v>
      </c>
      <c r="F132" s="53" t="s">
        <v>105</v>
      </c>
      <c r="G132" s="53" t="s">
        <v>105</v>
      </c>
      <c r="H132" s="53" t="s">
        <v>105</v>
      </c>
      <c r="I132" s="53"/>
      <c r="J132" s="208"/>
      <c r="K132" s="68"/>
    </row>
    <row r="133" spans="1:11" s="6" customFormat="1" ht="12.75" customHeight="1">
      <c r="A133" s="160">
        <v>2.193</v>
      </c>
      <c r="B133" s="156" t="s">
        <v>1846</v>
      </c>
      <c r="C133" s="112" t="s">
        <v>1844</v>
      </c>
      <c r="D133" s="52" t="s">
        <v>1843</v>
      </c>
      <c r="E133" s="99" t="s">
        <v>1851</v>
      </c>
      <c r="F133" s="52" t="s">
        <v>105</v>
      </c>
      <c r="G133" s="52" t="s">
        <v>105</v>
      </c>
      <c r="H133" s="52" t="s">
        <v>105</v>
      </c>
      <c r="I133" s="52"/>
      <c r="J133" s="207"/>
      <c r="K133" s="69"/>
    </row>
    <row r="134" spans="1:11" s="6" customFormat="1" ht="12.75" customHeight="1">
      <c r="A134" s="160">
        <v>2.193</v>
      </c>
      <c r="B134" s="156" t="s">
        <v>1882</v>
      </c>
      <c r="C134" s="112" t="s">
        <v>1844</v>
      </c>
      <c r="D134" s="52" t="s">
        <v>1843</v>
      </c>
      <c r="E134" s="99" t="s">
        <v>1884</v>
      </c>
      <c r="F134" s="52" t="s">
        <v>105</v>
      </c>
      <c r="G134" s="52" t="s">
        <v>105</v>
      </c>
      <c r="H134" s="52" t="s">
        <v>105</v>
      </c>
      <c r="I134" s="52"/>
      <c r="J134" s="207"/>
      <c r="K134" s="69"/>
    </row>
    <row r="135" spans="1:11" s="6" customFormat="1" ht="12.75" customHeight="1">
      <c r="A135" s="160">
        <v>2.193</v>
      </c>
      <c r="B135" s="156" t="s">
        <v>1918</v>
      </c>
      <c r="C135" s="112" t="s">
        <v>1844</v>
      </c>
      <c r="D135" s="52" t="s">
        <v>1843</v>
      </c>
      <c r="E135" s="99" t="s">
        <v>1917</v>
      </c>
      <c r="F135" s="52" t="s">
        <v>105</v>
      </c>
      <c r="G135" s="52" t="s">
        <v>105</v>
      </c>
      <c r="H135" s="52" t="s">
        <v>105</v>
      </c>
      <c r="I135" s="52"/>
      <c r="J135" s="207"/>
      <c r="K135" s="69"/>
    </row>
    <row r="136" spans="1:11" s="6" customFormat="1" ht="12.75" customHeight="1">
      <c r="A136" s="160">
        <v>2.193</v>
      </c>
      <c r="B136" s="156" t="s">
        <v>1883</v>
      </c>
      <c r="C136" s="112" t="s">
        <v>1844</v>
      </c>
      <c r="D136" s="52" t="s">
        <v>1843</v>
      </c>
      <c r="E136" s="99" t="s">
        <v>1885</v>
      </c>
      <c r="F136" s="52" t="s">
        <v>105</v>
      </c>
      <c r="G136" s="52" t="s">
        <v>105</v>
      </c>
      <c r="H136" s="52" t="s">
        <v>105</v>
      </c>
      <c r="I136" s="52"/>
      <c r="J136" s="207"/>
      <c r="K136" s="69"/>
    </row>
    <row r="137" spans="1:11" s="6" customFormat="1" ht="12.75" customHeight="1">
      <c r="A137" s="160">
        <v>2.193</v>
      </c>
      <c r="B137" s="156" t="s">
        <v>1914</v>
      </c>
      <c r="C137" s="112" t="s">
        <v>1844</v>
      </c>
      <c r="D137" s="52" t="s">
        <v>1843</v>
      </c>
      <c r="E137" s="99" t="s">
        <v>1913</v>
      </c>
      <c r="F137" s="52" t="s">
        <v>105</v>
      </c>
      <c r="G137" s="52" t="s">
        <v>105</v>
      </c>
      <c r="H137" s="52" t="s">
        <v>105</v>
      </c>
      <c r="I137" s="52"/>
      <c r="J137" s="207"/>
      <c r="K137" s="69"/>
    </row>
    <row r="138" spans="1:11" s="6" customFormat="1" ht="12.75" customHeight="1">
      <c r="A138" s="160">
        <v>2.193</v>
      </c>
      <c r="B138" s="156" t="s">
        <v>1847</v>
      </c>
      <c r="C138" s="112" t="s">
        <v>1844</v>
      </c>
      <c r="D138" s="52" t="s">
        <v>1843</v>
      </c>
      <c r="E138" s="99" t="s">
        <v>1852</v>
      </c>
      <c r="F138" s="52" t="s">
        <v>105</v>
      </c>
      <c r="G138" s="52" t="s">
        <v>105</v>
      </c>
      <c r="H138" s="52" t="s">
        <v>105</v>
      </c>
      <c r="I138" s="52"/>
      <c r="J138" s="207"/>
      <c r="K138" s="69"/>
    </row>
    <row r="139" spans="1:11" s="6" customFormat="1" ht="12.75" customHeight="1">
      <c r="A139" s="160">
        <v>2.193</v>
      </c>
      <c r="B139" s="156" t="s">
        <v>1848</v>
      </c>
      <c r="C139" s="112" t="s">
        <v>1844</v>
      </c>
      <c r="D139" s="52" t="s">
        <v>1843</v>
      </c>
      <c r="E139" s="99" t="s">
        <v>1853</v>
      </c>
      <c r="F139" s="52" t="s">
        <v>105</v>
      </c>
      <c r="G139" s="52" t="s">
        <v>105</v>
      </c>
      <c r="H139" s="52" t="s">
        <v>105</v>
      </c>
      <c r="I139" s="52"/>
      <c r="J139" s="207"/>
      <c r="K139" s="69"/>
    </row>
    <row r="140" spans="1:11" s="6" customFormat="1" ht="12.75" customHeight="1" thickBot="1">
      <c r="A140" s="160">
        <v>2.193</v>
      </c>
      <c r="B140" s="156" t="s">
        <v>1849</v>
      </c>
      <c r="C140" s="112" t="s">
        <v>1844</v>
      </c>
      <c r="D140" s="52" t="s">
        <v>1843</v>
      </c>
      <c r="E140" s="99" t="s">
        <v>1854</v>
      </c>
      <c r="F140" s="52" t="s">
        <v>105</v>
      </c>
      <c r="G140" s="52" t="s">
        <v>105</v>
      </c>
      <c r="H140" s="52" t="s">
        <v>105</v>
      </c>
      <c r="I140" s="52"/>
      <c r="J140" s="207"/>
      <c r="K140" s="69"/>
    </row>
    <row r="141" spans="1:11" s="6" customFormat="1" ht="21" customHeight="1" thickBot="1">
      <c r="A141" s="299" t="s">
        <v>147</v>
      </c>
      <c r="B141" s="300"/>
      <c r="C141" s="300"/>
      <c r="D141" s="300"/>
      <c r="E141" s="301"/>
      <c r="F141" s="296" t="s">
        <v>87</v>
      </c>
      <c r="G141" s="297"/>
      <c r="H141" s="297"/>
      <c r="I141" s="297"/>
      <c r="J141" s="298"/>
      <c r="K141" s="192">
        <f>SUBTOTAL(3,D142:D146)</f>
        <v>5</v>
      </c>
    </row>
    <row r="142" spans="1:11" s="6" customFormat="1" ht="12.75" customHeight="1">
      <c r="A142" s="96">
        <v>2.99</v>
      </c>
      <c r="B142" s="52" t="s">
        <v>186</v>
      </c>
      <c r="C142" s="112" t="s">
        <v>312</v>
      </c>
      <c r="D142" s="52" t="s">
        <v>147</v>
      </c>
      <c r="E142" s="99" t="s">
        <v>711</v>
      </c>
      <c r="F142" s="52" t="s">
        <v>105</v>
      </c>
      <c r="G142" s="52" t="s">
        <v>105</v>
      </c>
      <c r="H142" s="52" t="s">
        <v>105</v>
      </c>
      <c r="I142" s="52"/>
      <c r="J142" s="207"/>
      <c r="K142" s="69"/>
    </row>
    <row r="143" spans="1:11" s="6" customFormat="1" ht="12.75" customHeight="1">
      <c r="A143" s="96">
        <v>2.99</v>
      </c>
      <c r="B143" s="52" t="s">
        <v>187</v>
      </c>
      <c r="C143" s="112" t="s">
        <v>312</v>
      </c>
      <c r="D143" s="52" t="s">
        <v>147</v>
      </c>
      <c r="E143" s="99" t="s">
        <v>712</v>
      </c>
      <c r="F143" s="52" t="s">
        <v>105</v>
      </c>
      <c r="G143" s="52" t="s">
        <v>105</v>
      </c>
      <c r="H143" s="52" t="s">
        <v>105</v>
      </c>
      <c r="I143" s="52"/>
      <c r="J143" s="207"/>
      <c r="K143" s="69"/>
    </row>
    <row r="144" spans="1:11" s="6" customFormat="1" ht="12.75" customHeight="1">
      <c r="A144" s="96">
        <v>2.99</v>
      </c>
      <c r="B144" s="52" t="s">
        <v>188</v>
      </c>
      <c r="C144" s="112" t="s">
        <v>312</v>
      </c>
      <c r="D144" s="52" t="s">
        <v>147</v>
      </c>
      <c r="E144" s="99" t="s">
        <v>710</v>
      </c>
      <c r="F144" s="52" t="s">
        <v>105</v>
      </c>
      <c r="G144" s="52" t="s">
        <v>105</v>
      </c>
      <c r="H144" s="52" t="s">
        <v>105</v>
      </c>
      <c r="I144" s="52"/>
      <c r="J144" s="207"/>
      <c r="K144" s="69"/>
    </row>
    <row r="145" spans="1:11" s="6" customFormat="1" ht="12.75" customHeight="1">
      <c r="A145" s="96">
        <v>2.99</v>
      </c>
      <c r="B145" s="52" t="s">
        <v>189</v>
      </c>
      <c r="C145" s="112" t="s">
        <v>312</v>
      </c>
      <c r="D145" s="52" t="s">
        <v>147</v>
      </c>
      <c r="E145" s="99" t="s">
        <v>709</v>
      </c>
      <c r="F145" s="52" t="s">
        <v>105</v>
      </c>
      <c r="G145" s="52" t="s">
        <v>105</v>
      </c>
      <c r="H145" s="52" t="s">
        <v>105</v>
      </c>
      <c r="I145" s="52"/>
      <c r="J145" s="207" t="s">
        <v>105</v>
      </c>
      <c r="K145" s="69"/>
    </row>
    <row r="146" spans="1:11" s="6" customFormat="1" ht="12.75" customHeight="1" thickBot="1">
      <c r="A146" s="96">
        <v>2.99</v>
      </c>
      <c r="B146" s="52" t="s">
        <v>190</v>
      </c>
      <c r="C146" s="112" t="s">
        <v>312</v>
      </c>
      <c r="D146" s="52" t="s">
        <v>147</v>
      </c>
      <c r="E146" s="99" t="s">
        <v>713</v>
      </c>
      <c r="F146" s="52" t="s">
        <v>105</v>
      </c>
      <c r="G146" s="52" t="s">
        <v>105</v>
      </c>
      <c r="H146" s="52" t="s">
        <v>105</v>
      </c>
      <c r="I146" s="52"/>
      <c r="J146" s="207"/>
      <c r="K146" s="69"/>
    </row>
    <row r="147" spans="1:11" s="6" customFormat="1" ht="21" customHeight="1" thickBot="1">
      <c r="A147" s="299" t="s">
        <v>149</v>
      </c>
      <c r="B147" s="300"/>
      <c r="C147" s="300"/>
      <c r="D147" s="300"/>
      <c r="E147" s="301"/>
      <c r="F147" s="296" t="s">
        <v>87</v>
      </c>
      <c r="G147" s="297"/>
      <c r="H147" s="297"/>
      <c r="I147" s="297"/>
      <c r="J147" s="298"/>
      <c r="K147" s="190">
        <f>SUBTOTAL(3,D148:D165)</f>
        <v>18</v>
      </c>
    </row>
    <row r="148" spans="1:11" s="6" customFormat="1" ht="12.75" customHeight="1">
      <c r="A148" s="104">
        <v>2.152</v>
      </c>
      <c r="B148" s="105" t="s">
        <v>191</v>
      </c>
      <c r="C148" s="112" t="s">
        <v>1089</v>
      </c>
      <c r="D148" s="52" t="s">
        <v>149</v>
      </c>
      <c r="E148" s="107" t="s">
        <v>558</v>
      </c>
      <c r="F148" s="52" t="s">
        <v>105</v>
      </c>
      <c r="G148" s="52" t="s">
        <v>105</v>
      </c>
      <c r="H148" s="52" t="s">
        <v>105</v>
      </c>
      <c r="I148" s="52"/>
      <c r="J148" s="207"/>
      <c r="K148" s="69"/>
    </row>
    <row r="149" spans="1:11" s="6" customFormat="1" ht="12.75" customHeight="1">
      <c r="A149" s="104">
        <v>2.152</v>
      </c>
      <c r="B149" s="105" t="s">
        <v>194</v>
      </c>
      <c r="C149" s="112" t="s">
        <v>1089</v>
      </c>
      <c r="D149" s="52" t="s">
        <v>149</v>
      </c>
      <c r="E149" s="107" t="s">
        <v>559</v>
      </c>
      <c r="F149" s="52" t="s">
        <v>105</v>
      </c>
      <c r="G149" s="52" t="s">
        <v>105</v>
      </c>
      <c r="H149" s="52" t="s">
        <v>105</v>
      </c>
      <c r="I149" s="52"/>
      <c r="J149" s="207"/>
      <c r="K149" s="69"/>
    </row>
    <row r="150" spans="1:11" s="6" customFormat="1" ht="12.75" customHeight="1">
      <c r="A150" s="104">
        <v>2.152</v>
      </c>
      <c r="B150" s="105" t="s">
        <v>192</v>
      </c>
      <c r="C150" s="112" t="s">
        <v>1089</v>
      </c>
      <c r="D150" s="52" t="s">
        <v>149</v>
      </c>
      <c r="E150" s="107" t="s">
        <v>560</v>
      </c>
      <c r="F150" s="52" t="s">
        <v>105</v>
      </c>
      <c r="G150" s="52" t="s">
        <v>105</v>
      </c>
      <c r="H150" s="52" t="s">
        <v>105</v>
      </c>
      <c r="I150" s="52"/>
      <c r="J150" s="207"/>
      <c r="K150" s="69"/>
    </row>
    <row r="151" spans="1:11" s="6" customFormat="1" ht="12.75" customHeight="1">
      <c r="A151" s="104">
        <v>2.152</v>
      </c>
      <c r="B151" s="105" t="s">
        <v>193</v>
      </c>
      <c r="C151" s="112" t="s">
        <v>1089</v>
      </c>
      <c r="D151" s="52" t="s">
        <v>149</v>
      </c>
      <c r="E151" s="107" t="s">
        <v>561</v>
      </c>
      <c r="F151" s="52" t="s">
        <v>105</v>
      </c>
      <c r="G151" s="52" t="s">
        <v>105</v>
      </c>
      <c r="H151" s="52" t="s">
        <v>105</v>
      </c>
      <c r="I151" s="52"/>
      <c r="J151" s="207"/>
      <c r="K151" s="69"/>
    </row>
    <row r="152" spans="1:11" s="6" customFormat="1" ht="12.75" customHeight="1">
      <c r="A152" s="104">
        <v>2.152</v>
      </c>
      <c r="B152" s="105" t="s">
        <v>1078</v>
      </c>
      <c r="C152" s="112" t="s">
        <v>1089</v>
      </c>
      <c r="D152" s="52" t="s">
        <v>149</v>
      </c>
      <c r="E152" s="107" t="s">
        <v>1079</v>
      </c>
      <c r="F152" s="52" t="s">
        <v>105</v>
      </c>
      <c r="G152" s="52" t="s">
        <v>105</v>
      </c>
      <c r="H152" s="52" t="s">
        <v>105</v>
      </c>
      <c r="I152" s="52"/>
      <c r="J152" s="207"/>
      <c r="K152" s="69"/>
    </row>
    <row r="153" spans="1:11" s="6" customFormat="1" ht="12.75" customHeight="1">
      <c r="A153" s="195">
        <v>2.211</v>
      </c>
      <c r="B153" s="187" t="s">
        <v>906</v>
      </c>
      <c r="C153" s="112" t="s">
        <v>313</v>
      </c>
      <c r="D153" s="52" t="s">
        <v>149</v>
      </c>
      <c r="E153" s="186" t="s">
        <v>907</v>
      </c>
      <c r="F153" s="52"/>
      <c r="G153" s="52"/>
      <c r="H153" s="52"/>
      <c r="I153" s="52"/>
      <c r="J153" s="207"/>
      <c r="K153" s="69" t="s">
        <v>105</v>
      </c>
    </row>
    <row r="154" spans="1:11" s="6" customFormat="1" ht="12.75" customHeight="1">
      <c r="A154" s="195">
        <v>2.211</v>
      </c>
      <c r="B154" s="187" t="s">
        <v>1298</v>
      </c>
      <c r="C154" s="112" t="s">
        <v>313</v>
      </c>
      <c r="D154" s="52" t="s">
        <v>149</v>
      </c>
      <c r="E154" s="186" t="s">
        <v>1299</v>
      </c>
      <c r="F154" s="52"/>
      <c r="G154" s="52"/>
      <c r="H154" s="52"/>
      <c r="I154" s="52"/>
      <c r="J154" s="207"/>
      <c r="K154" s="69" t="s">
        <v>105</v>
      </c>
    </row>
    <row r="155" spans="1:11" s="6" customFormat="1" ht="12.75" customHeight="1">
      <c r="A155" s="195">
        <v>2.302</v>
      </c>
      <c r="B155" s="187" t="s">
        <v>1153</v>
      </c>
      <c r="C155" s="111" t="s">
        <v>309</v>
      </c>
      <c r="D155" s="52" t="s">
        <v>149</v>
      </c>
      <c r="E155" s="186" t="s">
        <v>1154</v>
      </c>
      <c r="F155" s="52" t="s">
        <v>105</v>
      </c>
      <c r="G155" s="52" t="s">
        <v>105</v>
      </c>
      <c r="H155" s="52" t="s">
        <v>105</v>
      </c>
      <c r="I155" s="52"/>
      <c r="J155" s="207"/>
      <c r="K155" s="69"/>
    </row>
    <row r="156" spans="1:11" s="6" customFormat="1" ht="12.75" customHeight="1">
      <c r="A156" s="195">
        <v>2.302</v>
      </c>
      <c r="B156" s="187" t="s">
        <v>1143</v>
      </c>
      <c r="C156" s="111" t="s">
        <v>309</v>
      </c>
      <c r="D156" s="52" t="s">
        <v>149</v>
      </c>
      <c r="E156" s="186" t="s">
        <v>1144</v>
      </c>
      <c r="F156" s="52" t="s">
        <v>105</v>
      </c>
      <c r="G156" s="52" t="s">
        <v>105</v>
      </c>
      <c r="H156" s="52" t="s">
        <v>105</v>
      </c>
      <c r="I156" s="52"/>
      <c r="J156" s="207"/>
      <c r="K156" s="69"/>
    </row>
    <row r="157" spans="1:11" s="6" customFormat="1" ht="12.75" customHeight="1">
      <c r="A157" s="195">
        <v>2.302</v>
      </c>
      <c r="B157" s="187" t="s">
        <v>1123</v>
      </c>
      <c r="C157" s="111" t="s">
        <v>309</v>
      </c>
      <c r="D157" s="52" t="s">
        <v>149</v>
      </c>
      <c r="E157" s="186" t="s">
        <v>1122</v>
      </c>
      <c r="F157" s="52" t="s">
        <v>105</v>
      </c>
      <c r="G157" s="52" t="s">
        <v>105</v>
      </c>
      <c r="H157" s="52" t="s">
        <v>105</v>
      </c>
      <c r="I157" s="52"/>
      <c r="J157" s="207"/>
      <c r="K157" s="69" t="s">
        <v>105</v>
      </c>
    </row>
    <row r="158" spans="1:11" s="6" customFormat="1" ht="12.75" customHeight="1">
      <c r="A158" s="104">
        <v>2.302</v>
      </c>
      <c r="B158" s="105" t="s">
        <v>1076</v>
      </c>
      <c r="C158" s="111" t="s">
        <v>309</v>
      </c>
      <c r="D158" s="52" t="s">
        <v>149</v>
      </c>
      <c r="E158" s="107" t="s">
        <v>1077</v>
      </c>
      <c r="F158" s="52" t="s">
        <v>105</v>
      </c>
      <c r="G158" s="52" t="s">
        <v>105</v>
      </c>
      <c r="H158" s="52" t="s">
        <v>105</v>
      </c>
      <c r="I158" s="52"/>
      <c r="J158" s="207"/>
      <c r="K158" s="69"/>
    </row>
    <row r="159" spans="1:11" s="6" customFormat="1" ht="12.75" customHeight="1">
      <c r="A159" s="104">
        <v>2.302</v>
      </c>
      <c r="B159" s="105" t="s">
        <v>195</v>
      </c>
      <c r="C159" s="111" t="s">
        <v>309</v>
      </c>
      <c r="D159" s="52" t="s">
        <v>149</v>
      </c>
      <c r="E159" s="107" t="s">
        <v>562</v>
      </c>
      <c r="F159" s="52" t="s">
        <v>105</v>
      </c>
      <c r="G159" s="52" t="s">
        <v>105</v>
      </c>
      <c r="H159" s="52" t="s">
        <v>105</v>
      </c>
      <c r="I159" s="52"/>
      <c r="J159" s="207"/>
      <c r="K159" s="69"/>
    </row>
    <row r="160" spans="1:11" s="6" customFormat="1" ht="12.75" customHeight="1">
      <c r="A160" s="104">
        <v>2.302</v>
      </c>
      <c r="B160" s="105" t="s">
        <v>463</v>
      </c>
      <c r="C160" s="111" t="s">
        <v>309</v>
      </c>
      <c r="D160" s="52" t="s">
        <v>149</v>
      </c>
      <c r="E160" s="107" t="s">
        <v>563</v>
      </c>
      <c r="F160" s="52" t="s">
        <v>105</v>
      </c>
      <c r="G160" s="52" t="s">
        <v>105</v>
      </c>
      <c r="H160" s="52" t="s">
        <v>105</v>
      </c>
      <c r="I160" s="52"/>
      <c r="J160" s="207"/>
      <c r="K160" s="69"/>
    </row>
    <row r="161" spans="1:11" s="6" customFormat="1" ht="12.75" customHeight="1">
      <c r="A161" s="108">
        <v>2.302</v>
      </c>
      <c r="B161" s="157" t="s">
        <v>853</v>
      </c>
      <c r="C161" s="111" t="s">
        <v>309</v>
      </c>
      <c r="D161" s="52" t="s">
        <v>149</v>
      </c>
      <c r="E161" s="107" t="s">
        <v>852</v>
      </c>
      <c r="F161" s="52" t="s">
        <v>105</v>
      </c>
      <c r="G161" s="52" t="s">
        <v>105</v>
      </c>
      <c r="H161" s="52" t="s">
        <v>105</v>
      </c>
      <c r="I161" s="52"/>
      <c r="J161" s="207"/>
      <c r="K161" s="69"/>
    </row>
    <row r="162" spans="1:11" s="6" customFormat="1" ht="12.75" customHeight="1">
      <c r="A162" s="108">
        <v>2.302</v>
      </c>
      <c r="B162" s="157" t="s">
        <v>980</v>
      </c>
      <c r="C162" s="111" t="s">
        <v>309</v>
      </c>
      <c r="D162" s="52" t="s">
        <v>149</v>
      </c>
      <c r="E162" s="107" t="s">
        <v>981</v>
      </c>
      <c r="F162" s="52" t="s">
        <v>105</v>
      </c>
      <c r="G162" s="52" t="s">
        <v>105</v>
      </c>
      <c r="H162" s="52" t="s">
        <v>105</v>
      </c>
      <c r="I162" s="52"/>
      <c r="J162" s="207"/>
      <c r="K162" s="69"/>
    </row>
    <row r="163" spans="1:11" s="6" customFormat="1" ht="12.75" customHeight="1">
      <c r="A163" s="108">
        <v>2.302</v>
      </c>
      <c r="B163" s="157" t="s">
        <v>1027</v>
      </c>
      <c r="C163" s="111" t="s">
        <v>309</v>
      </c>
      <c r="D163" s="52" t="s">
        <v>149</v>
      </c>
      <c r="E163" s="107" t="s">
        <v>1028</v>
      </c>
      <c r="F163" s="52" t="s">
        <v>105</v>
      </c>
      <c r="G163" s="52" t="s">
        <v>105</v>
      </c>
      <c r="H163" s="52" t="s">
        <v>105</v>
      </c>
      <c r="I163" s="52"/>
      <c r="J163" s="207"/>
      <c r="K163" s="69"/>
    </row>
    <row r="164" spans="1:11" s="6" customFormat="1" ht="12.75" customHeight="1">
      <c r="A164" s="108">
        <v>2.302</v>
      </c>
      <c r="B164" s="157" t="s">
        <v>1222</v>
      </c>
      <c r="C164" s="111" t="s">
        <v>309</v>
      </c>
      <c r="D164" s="52" t="s">
        <v>149</v>
      </c>
      <c r="E164" s="107" t="s">
        <v>1223</v>
      </c>
      <c r="F164" s="52" t="s">
        <v>105</v>
      </c>
      <c r="G164" s="52" t="s">
        <v>105</v>
      </c>
      <c r="H164" s="52" t="s">
        <v>105</v>
      </c>
      <c r="I164" s="52"/>
      <c r="J164" s="207"/>
      <c r="K164" s="69" t="s">
        <v>105</v>
      </c>
    </row>
    <row r="165" spans="1:11" s="6" customFormat="1" ht="12.75" customHeight="1" thickBot="1">
      <c r="A165" s="108">
        <v>2.302</v>
      </c>
      <c r="B165" s="157" t="s">
        <v>1249</v>
      </c>
      <c r="C165" s="111" t="s">
        <v>309</v>
      </c>
      <c r="D165" s="52" t="s">
        <v>149</v>
      </c>
      <c r="E165" s="107" t="s">
        <v>1250</v>
      </c>
      <c r="F165" s="52" t="s">
        <v>105</v>
      </c>
      <c r="G165" s="52" t="s">
        <v>105</v>
      </c>
      <c r="H165" s="52" t="s">
        <v>105</v>
      </c>
      <c r="I165" s="52"/>
      <c r="J165" s="207"/>
      <c r="K165" s="69"/>
    </row>
    <row r="166" spans="1:11" s="6" customFormat="1" ht="19.5" customHeight="1" thickBot="1">
      <c r="A166" s="299" t="s">
        <v>1675</v>
      </c>
      <c r="B166" s="300"/>
      <c r="C166" s="300"/>
      <c r="D166" s="300"/>
      <c r="E166" s="301"/>
      <c r="F166" s="296" t="s">
        <v>87</v>
      </c>
      <c r="G166" s="297"/>
      <c r="H166" s="297"/>
      <c r="I166" s="297"/>
      <c r="J166" s="298"/>
      <c r="K166" s="190">
        <f>SUBTOTAL(3,D167:D168)</f>
        <v>2</v>
      </c>
    </row>
    <row r="167" spans="1:11" s="89" customFormat="1" ht="12.75" customHeight="1">
      <c r="A167" s="243">
        <v>2.302</v>
      </c>
      <c r="B167" s="106" t="s">
        <v>1713</v>
      </c>
      <c r="C167" s="31" t="s">
        <v>309</v>
      </c>
      <c r="D167" s="106" t="s">
        <v>1675</v>
      </c>
      <c r="E167" s="31" t="s">
        <v>1712</v>
      </c>
      <c r="F167" s="244" t="s">
        <v>105</v>
      </c>
      <c r="G167" s="244" t="s">
        <v>105</v>
      </c>
      <c r="H167" s="244" t="s">
        <v>105</v>
      </c>
      <c r="I167" s="106"/>
      <c r="J167" s="106"/>
      <c r="K167" s="126"/>
    </row>
    <row r="168" spans="1:11" s="89" customFormat="1" ht="12.75" customHeight="1" thickBot="1">
      <c r="A168" s="240">
        <v>2.302</v>
      </c>
      <c r="B168" s="199" t="s">
        <v>1709</v>
      </c>
      <c r="C168" s="241" t="s">
        <v>309</v>
      </c>
      <c r="D168" s="199" t="s">
        <v>1675</v>
      </c>
      <c r="E168" s="241" t="s">
        <v>1710</v>
      </c>
      <c r="F168" s="199" t="s">
        <v>105</v>
      </c>
      <c r="G168" s="199" t="s">
        <v>105</v>
      </c>
      <c r="H168" s="199" t="s">
        <v>105</v>
      </c>
      <c r="I168" s="199"/>
      <c r="J168" s="199"/>
      <c r="K168" s="242"/>
    </row>
    <row r="169" spans="1:11" s="6" customFormat="1" ht="21" customHeight="1" thickBot="1">
      <c r="A169" s="299" t="s">
        <v>150</v>
      </c>
      <c r="B169" s="300"/>
      <c r="C169" s="300"/>
      <c r="D169" s="300"/>
      <c r="E169" s="301"/>
      <c r="F169" s="296" t="s">
        <v>87</v>
      </c>
      <c r="G169" s="297"/>
      <c r="H169" s="297"/>
      <c r="I169" s="297"/>
      <c r="J169" s="298"/>
      <c r="K169" s="190">
        <f>SUBTOTAL(3,D170:D176)</f>
        <v>7</v>
      </c>
    </row>
    <row r="170" spans="1:11" s="6" customFormat="1" ht="12.75" customHeight="1">
      <c r="A170" s="96">
        <v>2.302</v>
      </c>
      <c r="B170" s="52" t="s">
        <v>198</v>
      </c>
      <c r="C170" s="112" t="s">
        <v>309</v>
      </c>
      <c r="D170" s="52" t="s">
        <v>150</v>
      </c>
      <c r="E170" s="99" t="s">
        <v>196</v>
      </c>
      <c r="F170" s="52" t="s">
        <v>105</v>
      </c>
      <c r="G170" s="52" t="s">
        <v>105</v>
      </c>
      <c r="H170" s="52" t="s">
        <v>105</v>
      </c>
      <c r="I170" s="52"/>
      <c r="J170" s="207"/>
      <c r="K170" s="69"/>
    </row>
    <row r="171" spans="1:11" s="6" customFormat="1" ht="12.75" customHeight="1">
      <c r="A171" s="96">
        <v>2.302</v>
      </c>
      <c r="B171" s="52" t="s">
        <v>1009</v>
      </c>
      <c r="C171" s="112" t="s">
        <v>309</v>
      </c>
      <c r="D171" s="52" t="s">
        <v>150</v>
      </c>
      <c r="E171" s="116" t="s">
        <v>1010</v>
      </c>
      <c r="F171" s="52" t="s">
        <v>105</v>
      </c>
      <c r="G171" s="52" t="s">
        <v>105</v>
      </c>
      <c r="H171" s="52" t="s">
        <v>105</v>
      </c>
      <c r="I171" s="66"/>
      <c r="J171" s="209"/>
      <c r="K171" s="70"/>
    </row>
    <row r="172" spans="1:11" s="6" customFormat="1" ht="12.75" customHeight="1">
      <c r="A172" s="115">
        <v>2.302</v>
      </c>
      <c r="B172" s="66" t="s">
        <v>199</v>
      </c>
      <c r="C172" s="113" t="s">
        <v>309</v>
      </c>
      <c r="D172" s="66" t="s">
        <v>150</v>
      </c>
      <c r="E172" s="116" t="s">
        <v>197</v>
      </c>
      <c r="F172" s="66" t="s">
        <v>105</v>
      </c>
      <c r="G172" s="66" t="s">
        <v>105</v>
      </c>
      <c r="H172" s="66" t="s">
        <v>105</v>
      </c>
      <c r="I172" s="66"/>
      <c r="J172" s="209"/>
      <c r="K172" s="70"/>
    </row>
    <row r="173" spans="1:11" s="6" customFormat="1" ht="12.75" customHeight="1">
      <c r="A173" s="115">
        <v>2.302</v>
      </c>
      <c r="B173" s="66" t="s">
        <v>1742</v>
      </c>
      <c r="C173" s="113" t="s">
        <v>309</v>
      </c>
      <c r="D173" s="66" t="s">
        <v>150</v>
      </c>
      <c r="E173" s="116" t="s">
        <v>1743</v>
      </c>
      <c r="F173" s="66" t="s">
        <v>105</v>
      </c>
      <c r="G173" s="66" t="s">
        <v>105</v>
      </c>
      <c r="H173" s="66" t="s">
        <v>105</v>
      </c>
      <c r="I173" s="66"/>
      <c r="J173" s="209"/>
      <c r="K173" s="70"/>
    </row>
    <row r="174" spans="1:11" s="6" customFormat="1" ht="12.75" customHeight="1">
      <c r="A174" s="115">
        <v>2.302</v>
      </c>
      <c r="B174" s="66" t="s">
        <v>1764</v>
      </c>
      <c r="C174" s="113" t="s">
        <v>309</v>
      </c>
      <c r="D174" s="66" t="s">
        <v>150</v>
      </c>
      <c r="E174" s="116" t="s">
        <v>1763</v>
      </c>
      <c r="F174" s="66" t="s">
        <v>105</v>
      </c>
      <c r="G174" s="66" t="s">
        <v>105</v>
      </c>
      <c r="H174" s="66" t="s">
        <v>105</v>
      </c>
      <c r="I174" s="66"/>
      <c r="J174" s="209"/>
      <c r="K174" s="70"/>
    </row>
    <row r="175" spans="1:11" s="6" customFormat="1" ht="12.75" customHeight="1">
      <c r="A175" s="115">
        <v>2.302</v>
      </c>
      <c r="B175" s="164" t="s">
        <v>1784</v>
      </c>
      <c r="C175" s="113" t="s">
        <v>309</v>
      </c>
      <c r="D175" s="66" t="s">
        <v>150</v>
      </c>
      <c r="E175" s="116" t="s">
        <v>1782</v>
      </c>
      <c r="F175" s="66" t="s">
        <v>105</v>
      </c>
      <c r="G175" s="66" t="s">
        <v>105</v>
      </c>
      <c r="H175" s="66" t="s">
        <v>105</v>
      </c>
      <c r="I175" s="66"/>
      <c r="J175" s="209"/>
      <c r="K175" s="70"/>
    </row>
    <row r="176" spans="1:11" s="6" customFormat="1" ht="12.75" customHeight="1" thickBot="1">
      <c r="A176" s="115">
        <v>2.302</v>
      </c>
      <c r="B176" s="164" t="s">
        <v>1785</v>
      </c>
      <c r="C176" s="113" t="s">
        <v>309</v>
      </c>
      <c r="D176" s="66" t="s">
        <v>150</v>
      </c>
      <c r="E176" s="116" t="s">
        <v>1783</v>
      </c>
      <c r="F176" s="66" t="s">
        <v>105</v>
      </c>
      <c r="G176" s="66" t="s">
        <v>105</v>
      </c>
      <c r="H176" s="66" t="s">
        <v>105</v>
      </c>
      <c r="I176" s="66"/>
      <c r="J176" s="209"/>
      <c r="K176" s="70"/>
    </row>
    <row r="177" spans="1:11" s="6" customFormat="1" ht="21" customHeight="1" thickBot="1">
      <c r="A177" s="299" t="s">
        <v>1676</v>
      </c>
      <c r="B177" s="300"/>
      <c r="C177" s="300"/>
      <c r="D177" s="300"/>
      <c r="E177" s="301"/>
      <c r="F177" s="296" t="s">
        <v>87</v>
      </c>
      <c r="G177" s="297"/>
      <c r="H177" s="297"/>
      <c r="I177" s="297"/>
      <c r="J177" s="298"/>
      <c r="K177" s="190">
        <f>SUBTOTAL(3,D178:D179)</f>
        <v>2</v>
      </c>
    </row>
    <row r="178" spans="1:11" s="89" customFormat="1" ht="12.75" customHeight="1">
      <c r="A178" s="177">
        <v>2.215</v>
      </c>
      <c r="B178" s="157" t="s">
        <v>1896</v>
      </c>
      <c r="C178" s="31" t="s">
        <v>1893</v>
      </c>
      <c r="D178" s="46" t="s">
        <v>1676</v>
      </c>
      <c r="E178" s="125" t="s">
        <v>1897</v>
      </c>
      <c r="F178" s="106" t="s">
        <v>105</v>
      </c>
      <c r="G178" s="106" t="s">
        <v>105</v>
      </c>
      <c r="H178" s="106" t="s">
        <v>105</v>
      </c>
      <c r="I178" s="102"/>
      <c r="J178" s="257"/>
      <c r="K178" s="245"/>
    </row>
    <row r="179" spans="1:11" s="89" customFormat="1" ht="12.75" customHeight="1" thickBot="1">
      <c r="A179" s="177">
        <v>2.215</v>
      </c>
      <c r="B179" s="157" t="s">
        <v>1919</v>
      </c>
      <c r="C179" s="31" t="s">
        <v>1893</v>
      </c>
      <c r="D179" s="46" t="s">
        <v>1676</v>
      </c>
      <c r="E179" s="125" t="s">
        <v>1920</v>
      </c>
      <c r="F179" s="106" t="s">
        <v>105</v>
      </c>
      <c r="G179" s="106" t="s">
        <v>105</v>
      </c>
      <c r="H179" s="106" t="s">
        <v>105</v>
      </c>
      <c r="I179" s="102"/>
      <c r="J179" s="257"/>
      <c r="K179" s="245"/>
    </row>
    <row r="180" spans="1:11" s="6" customFormat="1" ht="21" customHeight="1" thickBot="1">
      <c r="A180" s="299" t="s">
        <v>164</v>
      </c>
      <c r="B180" s="300"/>
      <c r="C180" s="300"/>
      <c r="D180" s="300"/>
      <c r="E180" s="301"/>
      <c r="F180" s="296" t="s">
        <v>87</v>
      </c>
      <c r="G180" s="297"/>
      <c r="H180" s="297"/>
      <c r="I180" s="297"/>
      <c r="J180" s="298"/>
      <c r="K180" s="190">
        <f>SUBTOTAL(3,D181:D191)</f>
        <v>11</v>
      </c>
    </row>
    <row r="181" spans="1:11" s="6" customFormat="1" ht="12.75" customHeight="1">
      <c r="A181" s="239">
        <v>2.54</v>
      </c>
      <c r="B181" s="52" t="s">
        <v>1698</v>
      </c>
      <c r="C181" s="36" t="s">
        <v>1697</v>
      </c>
      <c r="D181" s="46" t="s">
        <v>164</v>
      </c>
      <c r="E181" s="99" t="s">
        <v>1695</v>
      </c>
      <c r="F181" s="52" t="s">
        <v>105</v>
      </c>
      <c r="G181" s="52" t="s">
        <v>105</v>
      </c>
      <c r="H181" s="52" t="s">
        <v>105</v>
      </c>
      <c r="I181" s="53"/>
      <c r="J181" s="208"/>
      <c r="K181" s="68"/>
    </row>
    <row r="182" spans="1:11" s="6" customFormat="1" ht="12.75" customHeight="1">
      <c r="A182" s="239">
        <v>2.54</v>
      </c>
      <c r="B182" s="52" t="s">
        <v>1699</v>
      </c>
      <c r="C182" s="36" t="s">
        <v>1697</v>
      </c>
      <c r="D182" s="46" t="s">
        <v>164</v>
      </c>
      <c r="E182" s="99" t="s">
        <v>1696</v>
      </c>
      <c r="F182" s="52" t="s">
        <v>105</v>
      </c>
      <c r="G182" s="52" t="s">
        <v>105</v>
      </c>
      <c r="H182" s="52" t="s">
        <v>105</v>
      </c>
      <c r="I182" s="53"/>
      <c r="J182" s="208"/>
      <c r="K182" s="68"/>
    </row>
    <row r="183" spans="1:11" s="6" customFormat="1" ht="12.75" customHeight="1">
      <c r="A183" s="175">
        <v>2.346</v>
      </c>
      <c r="B183" s="52" t="s">
        <v>1667</v>
      </c>
      <c r="C183" s="36" t="s">
        <v>1666</v>
      </c>
      <c r="D183" s="46" t="s">
        <v>164</v>
      </c>
      <c r="E183" s="99" t="s">
        <v>1668</v>
      </c>
      <c r="F183" s="52" t="s">
        <v>105</v>
      </c>
      <c r="G183" s="52" t="s">
        <v>105</v>
      </c>
      <c r="H183" s="52" t="s">
        <v>105</v>
      </c>
      <c r="I183" s="53"/>
      <c r="J183" s="208"/>
      <c r="K183" s="68"/>
    </row>
    <row r="184" spans="1:11" s="89" customFormat="1" ht="12.75" customHeight="1">
      <c r="A184" s="175">
        <v>2.394</v>
      </c>
      <c r="B184" s="157" t="s">
        <v>1520</v>
      </c>
      <c r="C184" s="33" t="s">
        <v>1886</v>
      </c>
      <c r="D184" s="46" t="s">
        <v>164</v>
      </c>
      <c r="E184" s="125" t="s">
        <v>1524</v>
      </c>
      <c r="F184" s="106" t="s">
        <v>105</v>
      </c>
      <c r="G184" s="106" t="s">
        <v>105</v>
      </c>
      <c r="H184" s="106" t="s">
        <v>105</v>
      </c>
      <c r="I184" s="102"/>
      <c r="J184" s="257"/>
      <c r="K184" s="245"/>
    </row>
    <row r="185" spans="1:11" s="6" customFormat="1" ht="12.75" customHeight="1">
      <c r="A185" s="175">
        <v>2.394</v>
      </c>
      <c r="B185" s="52" t="s">
        <v>1558</v>
      </c>
      <c r="C185" s="33" t="s">
        <v>1886</v>
      </c>
      <c r="D185" s="46" t="s">
        <v>164</v>
      </c>
      <c r="E185" s="99" t="s">
        <v>1557</v>
      </c>
      <c r="F185" s="52" t="s">
        <v>105</v>
      </c>
      <c r="G185" s="52" t="s">
        <v>105</v>
      </c>
      <c r="H185" s="52" t="s">
        <v>105</v>
      </c>
      <c r="I185" s="53"/>
      <c r="J185" s="208"/>
      <c r="K185" s="68"/>
    </row>
    <row r="186" spans="1:11" s="6" customFormat="1" ht="12.75" customHeight="1">
      <c r="A186" s="175">
        <v>2.394</v>
      </c>
      <c r="B186" s="52" t="s">
        <v>1521</v>
      </c>
      <c r="C186" s="33" t="s">
        <v>1886</v>
      </c>
      <c r="D186" s="46" t="s">
        <v>164</v>
      </c>
      <c r="E186" s="99" t="s">
        <v>1522</v>
      </c>
      <c r="F186" s="52" t="s">
        <v>105</v>
      </c>
      <c r="G186" s="52" t="s">
        <v>105</v>
      </c>
      <c r="H186" s="52" t="s">
        <v>105</v>
      </c>
      <c r="I186" s="53"/>
      <c r="J186" s="208"/>
      <c r="K186" s="68"/>
    </row>
    <row r="187" spans="1:11" s="6" customFormat="1" ht="12.75" customHeight="1">
      <c r="A187" s="175">
        <v>2.394</v>
      </c>
      <c r="B187" s="52" t="s">
        <v>1519</v>
      </c>
      <c r="C187" s="33" t="s">
        <v>1886</v>
      </c>
      <c r="D187" s="46" t="s">
        <v>164</v>
      </c>
      <c r="E187" s="99" t="s">
        <v>1523</v>
      </c>
      <c r="F187" s="52" t="s">
        <v>105</v>
      </c>
      <c r="G187" s="52" t="s">
        <v>105</v>
      </c>
      <c r="H187" s="52" t="s">
        <v>105</v>
      </c>
      <c r="I187" s="53"/>
      <c r="J187" s="208"/>
      <c r="K187" s="68"/>
    </row>
    <row r="188" spans="1:11" s="6" customFormat="1" ht="12.75" customHeight="1">
      <c r="A188" s="175">
        <v>2.394</v>
      </c>
      <c r="B188" s="52" t="s">
        <v>1606</v>
      </c>
      <c r="C188" s="33" t="s">
        <v>1886</v>
      </c>
      <c r="D188" s="46" t="s">
        <v>164</v>
      </c>
      <c r="E188" s="99" t="s">
        <v>1605</v>
      </c>
      <c r="F188" s="52" t="s">
        <v>105</v>
      </c>
      <c r="G188" s="52" t="s">
        <v>105</v>
      </c>
      <c r="H188" s="52" t="s">
        <v>105</v>
      </c>
      <c r="I188" s="53"/>
      <c r="J188" s="208"/>
      <c r="K188" s="68"/>
    </row>
    <row r="189" spans="1:11" s="6" customFormat="1" ht="12.75" customHeight="1">
      <c r="A189" s="175">
        <v>2.394</v>
      </c>
      <c r="B189" s="52" t="s">
        <v>1482</v>
      </c>
      <c r="C189" s="33" t="s">
        <v>1886</v>
      </c>
      <c r="D189" s="46" t="s">
        <v>164</v>
      </c>
      <c r="E189" s="99" t="s">
        <v>1483</v>
      </c>
      <c r="F189" s="52" t="s">
        <v>105</v>
      </c>
      <c r="G189" s="52" t="s">
        <v>105</v>
      </c>
      <c r="H189" s="52" t="s">
        <v>105</v>
      </c>
      <c r="I189" s="53"/>
      <c r="J189" s="208"/>
      <c r="K189" s="68"/>
    </row>
    <row r="190" spans="1:11" s="6" customFormat="1" ht="12.75" customHeight="1">
      <c r="A190" s="175">
        <v>2.392</v>
      </c>
      <c r="B190" s="52" t="s">
        <v>1775</v>
      </c>
      <c r="C190" s="33" t="s">
        <v>1374</v>
      </c>
      <c r="D190" s="46" t="s">
        <v>164</v>
      </c>
      <c r="E190" s="99" t="s">
        <v>1776</v>
      </c>
      <c r="F190" s="52" t="s">
        <v>105</v>
      </c>
      <c r="G190" s="52" t="s">
        <v>105</v>
      </c>
      <c r="H190" s="52" t="s">
        <v>105</v>
      </c>
      <c r="I190" s="53"/>
      <c r="J190" s="208"/>
      <c r="K190" s="68"/>
    </row>
    <row r="191" spans="1:11" s="6" customFormat="1" ht="12.75" customHeight="1" thickBot="1">
      <c r="A191" s="175">
        <v>2.392</v>
      </c>
      <c r="B191" s="52" t="s">
        <v>1627</v>
      </c>
      <c r="C191" s="33" t="s">
        <v>1374</v>
      </c>
      <c r="D191" s="46" t="s">
        <v>164</v>
      </c>
      <c r="E191" s="99" t="s">
        <v>1628</v>
      </c>
      <c r="F191" s="52" t="s">
        <v>105</v>
      </c>
      <c r="G191" s="52" t="s">
        <v>105</v>
      </c>
      <c r="H191" s="52" t="s">
        <v>105</v>
      </c>
      <c r="I191" s="53"/>
      <c r="J191" s="208"/>
      <c r="K191" s="68"/>
    </row>
    <row r="192" spans="1:11" s="64" customFormat="1" ht="21" customHeight="1" thickBot="1">
      <c r="A192" s="305" t="s">
        <v>151</v>
      </c>
      <c r="B192" s="306"/>
      <c r="C192" s="306"/>
      <c r="D192" s="306"/>
      <c r="E192" s="307"/>
      <c r="F192" s="296" t="s">
        <v>87</v>
      </c>
      <c r="G192" s="297"/>
      <c r="H192" s="297"/>
      <c r="I192" s="297"/>
      <c r="J192" s="298"/>
      <c r="K192" s="191">
        <f>SUBTOTAL(3,D193:D204)</f>
        <v>12</v>
      </c>
    </row>
    <row r="193" spans="1:11" s="6" customFormat="1" ht="12.75" customHeight="1">
      <c r="A193" s="146">
        <v>2.148</v>
      </c>
      <c r="B193" s="147" t="s">
        <v>200</v>
      </c>
      <c r="C193" s="148" t="s">
        <v>314</v>
      </c>
      <c r="D193" s="142" t="s">
        <v>151</v>
      </c>
      <c r="E193" s="149" t="s">
        <v>564</v>
      </c>
      <c r="F193" s="142" t="s">
        <v>105</v>
      </c>
      <c r="G193" s="142" t="s">
        <v>105</v>
      </c>
      <c r="H193" s="142" t="s">
        <v>105</v>
      </c>
      <c r="I193" s="142"/>
      <c r="J193" s="206"/>
      <c r="K193" s="143"/>
    </row>
    <row r="194" spans="1:11" s="6" customFormat="1" ht="12.75" customHeight="1">
      <c r="A194" s="104">
        <v>2.148</v>
      </c>
      <c r="B194" s="105" t="s">
        <v>202</v>
      </c>
      <c r="C194" s="112" t="s">
        <v>314</v>
      </c>
      <c r="D194" s="52" t="s">
        <v>151</v>
      </c>
      <c r="E194" s="107" t="s">
        <v>565</v>
      </c>
      <c r="F194" s="52" t="s">
        <v>105</v>
      </c>
      <c r="G194" s="52" t="s">
        <v>105</v>
      </c>
      <c r="H194" s="52" t="s">
        <v>105</v>
      </c>
      <c r="I194" s="52"/>
      <c r="J194" s="207"/>
      <c r="K194" s="69"/>
    </row>
    <row r="195" spans="1:11" s="6" customFormat="1" ht="12.75" customHeight="1">
      <c r="A195" s="104">
        <v>2.148</v>
      </c>
      <c r="B195" s="105" t="s">
        <v>201</v>
      </c>
      <c r="C195" s="112" t="s">
        <v>314</v>
      </c>
      <c r="D195" s="52" t="s">
        <v>151</v>
      </c>
      <c r="E195" s="107" t="s">
        <v>566</v>
      </c>
      <c r="F195" s="52" t="s">
        <v>105</v>
      </c>
      <c r="G195" s="52" t="s">
        <v>105</v>
      </c>
      <c r="H195" s="52" t="s">
        <v>105</v>
      </c>
      <c r="I195" s="52"/>
      <c r="J195" s="207"/>
      <c r="K195" s="69"/>
    </row>
    <row r="196" spans="1:11" s="6" customFormat="1" ht="12.75" customHeight="1">
      <c r="A196" s="104">
        <v>2.148</v>
      </c>
      <c r="B196" s="105" t="s">
        <v>203</v>
      </c>
      <c r="C196" s="112" t="s">
        <v>314</v>
      </c>
      <c r="D196" s="52" t="s">
        <v>151</v>
      </c>
      <c r="E196" s="107" t="s">
        <v>567</v>
      </c>
      <c r="F196" s="52" t="s">
        <v>105</v>
      </c>
      <c r="G196" s="52" t="s">
        <v>105</v>
      </c>
      <c r="H196" s="52" t="s">
        <v>105</v>
      </c>
      <c r="I196" s="52"/>
      <c r="J196" s="207"/>
      <c r="K196" s="69"/>
    </row>
    <row r="197" spans="1:11" s="6" customFormat="1" ht="12.75" customHeight="1">
      <c r="A197" s="104">
        <v>2.148</v>
      </c>
      <c r="B197" s="105" t="s">
        <v>1162</v>
      </c>
      <c r="C197" s="112" t="s">
        <v>314</v>
      </c>
      <c r="D197" s="52" t="s">
        <v>151</v>
      </c>
      <c r="E197" s="107" t="s">
        <v>714</v>
      </c>
      <c r="F197" s="52" t="s">
        <v>105</v>
      </c>
      <c r="G197" s="52" t="s">
        <v>105</v>
      </c>
      <c r="H197" s="52" t="s">
        <v>105</v>
      </c>
      <c r="I197" s="52"/>
      <c r="J197" s="207"/>
      <c r="K197" s="69"/>
    </row>
    <row r="198" spans="1:11" s="6" customFormat="1" ht="12.75" customHeight="1">
      <c r="A198" s="104">
        <v>2.148</v>
      </c>
      <c r="B198" s="105" t="s">
        <v>204</v>
      </c>
      <c r="C198" s="112" t="s">
        <v>314</v>
      </c>
      <c r="D198" s="52" t="s">
        <v>151</v>
      </c>
      <c r="E198" s="107" t="s">
        <v>568</v>
      </c>
      <c r="F198" s="52" t="s">
        <v>105</v>
      </c>
      <c r="G198" s="52" t="s">
        <v>105</v>
      </c>
      <c r="H198" s="52" t="s">
        <v>105</v>
      </c>
      <c r="I198" s="52"/>
      <c r="J198" s="207"/>
      <c r="K198" s="69"/>
    </row>
    <row r="199" spans="1:11" s="6" customFormat="1" ht="12.75" customHeight="1">
      <c r="A199" s="104">
        <v>2.148</v>
      </c>
      <c r="B199" s="105" t="s">
        <v>205</v>
      </c>
      <c r="C199" s="112" t="s">
        <v>314</v>
      </c>
      <c r="D199" s="52" t="s">
        <v>151</v>
      </c>
      <c r="E199" s="107" t="s">
        <v>569</v>
      </c>
      <c r="F199" s="52" t="s">
        <v>105</v>
      </c>
      <c r="G199" s="52" t="s">
        <v>105</v>
      </c>
      <c r="H199" s="52" t="s">
        <v>105</v>
      </c>
      <c r="I199" s="52"/>
      <c r="J199" s="207"/>
      <c r="K199" s="69"/>
    </row>
    <row r="200" spans="1:11" s="6" customFormat="1" ht="12.75" customHeight="1">
      <c r="A200" s="104">
        <v>2.148</v>
      </c>
      <c r="B200" s="105" t="s">
        <v>206</v>
      </c>
      <c r="C200" s="112" t="s">
        <v>314</v>
      </c>
      <c r="D200" s="52" t="s">
        <v>151</v>
      </c>
      <c r="E200" s="107" t="s">
        <v>570</v>
      </c>
      <c r="F200" s="52" t="s">
        <v>105</v>
      </c>
      <c r="G200" s="52" t="s">
        <v>105</v>
      </c>
      <c r="H200" s="52" t="s">
        <v>105</v>
      </c>
      <c r="I200" s="52"/>
      <c r="J200" s="207"/>
      <c r="K200" s="69"/>
    </row>
    <row r="201" spans="1:11" s="6" customFormat="1" ht="12.75" customHeight="1">
      <c r="A201" s="108">
        <v>2.148</v>
      </c>
      <c r="B201" s="105" t="s">
        <v>207</v>
      </c>
      <c r="C201" s="112" t="s">
        <v>314</v>
      </c>
      <c r="D201" s="52" t="s">
        <v>151</v>
      </c>
      <c r="E201" s="107" t="s">
        <v>571</v>
      </c>
      <c r="F201" s="52" t="s">
        <v>105</v>
      </c>
      <c r="G201" s="52" t="s">
        <v>105</v>
      </c>
      <c r="H201" s="52" t="s">
        <v>105</v>
      </c>
      <c r="I201" s="52"/>
      <c r="J201" s="207"/>
      <c r="K201" s="69"/>
    </row>
    <row r="202" spans="1:11" s="6" customFormat="1" ht="12.75" customHeight="1">
      <c r="A202" s="108">
        <v>2.148</v>
      </c>
      <c r="B202" s="157" t="s">
        <v>854</v>
      </c>
      <c r="C202" s="112" t="s">
        <v>314</v>
      </c>
      <c r="D202" s="52" t="s">
        <v>151</v>
      </c>
      <c r="E202" s="107" t="s">
        <v>1163</v>
      </c>
      <c r="F202" s="52" t="s">
        <v>105</v>
      </c>
      <c r="G202" s="52" t="s">
        <v>105</v>
      </c>
      <c r="H202" s="52" t="s">
        <v>105</v>
      </c>
      <c r="I202" s="52"/>
      <c r="J202" s="207"/>
      <c r="K202" s="69"/>
    </row>
    <row r="203" spans="1:11" s="6" customFormat="1" ht="12.75" customHeight="1">
      <c r="A203" s="108">
        <v>2.148</v>
      </c>
      <c r="B203" s="157" t="s">
        <v>1489</v>
      </c>
      <c r="C203" s="112" t="s">
        <v>314</v>
      </c>
      <c r="D203" s="52" t="s">
        <v>151</v>
      </c>
      <c r="E203" s="107" t="s">
        <v>1488</v>
      </c>
      <c r="F203" s="52" t="s">
        <v>105</v>
      </c>
      <c r="G203" s="52" t="s">
        <v>105</v>
      </c>
      <c r="H203" s="52" t="s">
        <v>105</v>
      </c>
      <c r="I203" s="52"/>
      <c r="J203" s="207"/>
      <c r="K203" s="69"/>
    </row>
    <row r="204" spans="1:11" s="6" customFormat="1" ht="12.75" customHeight="1" thickBot="1">
      <c r="A204" s="108" t="s">
        <v>1868</v>
      </c>
      <c r="B204" s="157" t="s">
        <v>1869</v>
      </c>
      <c r="C204" s="112" t="s">
        <v>314</v>
      </c>
      <c r="D204" s="52" t="s">
        <v>151</v>
      </c>
      <c r="E204" s="107" t="s">
        <v>1867</v>
      </c>
      <c r="F204" s="52"/>
      <c r="G204" s="52"/>
      <c r="H204" s="52"/>
      <c r="I204" s="52"/>
      <c r="J204" s="207"/>
      <c r="K204" s="69" t="s">
        <v>105</v>
      </c>
    </row>
    <row r="205" spans="1:11" s="6" customFormat="1" ht="21" thickBot="1">
      <c r="A205" s="299" t="s">
        <v>1677</v>
      </c>
      <c r="B205" s="300"/>
      <c r="C205" s="300"/>
      <c r="D205" s="300"/>
      <c r="E205" s="301"/>
      <c r="F205" s="296" t="s">
        <v>87</v>
      </c>
      <c r="G205" s="297"/>
      <c r="H205" s="297"/>
      <c r="I205" s="297"/>
      <c r="J205" s="298"/>
      <c r="K205" s="190">
        <f>SUBTOTAL(3,D206:D206)</f>
        <v>1</v>
      </c>
    </row>
    <row r="206" spans="1:11" s="89" customFormat="1" ht="12.75" customHeight="1" thickBot="1">
      <c r="A206" s="177">
        <v>2.302</v>
      </c>
      <c r="B206" s="157" t="s">
        <v>1812</v>
      </c>
      <c r="C206" s="31" t="s">
        <v>309</v>
      </c>
      <c r="D206" s="102" t="s">
        <v>1677</v>
      </c>
      <c r="E206" s="103" t="s">
        <v>1813</v>
      </c>
      <c r="F206" s="102" t="s">
        <v>105</v>
      </c>
      <c r="G206" s="102" t="s">
        <v>105</v>
      </c>
      <c r="H206" s="102" t="s">
        <v>105</v>
      </c>
      <c r="I206" s="102"/>
      <c r="J206" s="249"/>
      <c r="K206" s="245"/>
    </row>
    <row r="207" spans="1:11" s="65" customFormat="1" ht="21" customHeight="1" thickBot="1">
      <c r="A207" s="299" t="s">
        <v>152</v>
      </c>
      <c r="B207" s="300"/>
      <c r="C207" s="300"/>
      <c r="D207" s="300"/>
      <c r="E207" s="301"/>
      <c r="F207" s="296" t="s">
        <v>87</v>
      </c>
      <c r="G207" s="297"/>
      <c r="H207" s="297"/>
      <c r="I207" s="297"/>
      <c r="J207" s="298"/>
      <c r="K207" s="192">
        <f>SUBTOTAL(3,D208:D214)</f>
        <v>7</v>
      </c>
    </row>
    <row r="208" spans="1:11" s="6" customFormat="1" ht="12.75" customHeight="1">
      <c r="A208" s="96">
        <v>2.124</v>
      </c>
      <c r="B208" s="52" t="s">
        <v>1224</v>
      </c>
      <c r="C208" s="111" t="s">
        <v>1132</v>
      </c>
      <c r="D208" s="52" t="s">
        <v>152</v>
      </c>
      <c r="E208" s="99" t="s">
        <v>1225</v>
      </c>
      <c r="F208" s="52" t="s">
        <v>105</v>
      </c>
      <c r="G208" s="52" t="s">
        <v>105</v>
      </c>
      <c r="H208" s="52" t="s">
        <v>105</v>
      </c>
      <c r="I208" s="53"/>
      <c r="J208" s="208"/>
      <c r="K208" s="68"/>
    </row>
    <row r="209" spans="1:11" s="6" customFormat="1" ht="12.75" customHeight="1">
      <c r="A209" s="96">
        <v>2.124</v>
      </c>
      <c r="B209" s="52" t="s">
        <v>1629</v>
      </c>
      <c r="C209" s="111" t="s">
        <v>1132</v>
      </c>
      <c r="D209" s="52" t="s">
        <v>152</v>
      </c>
      <c r="E209" s="99" t="s">
        <v>1630</v>
      </c>
      <c r="F209" s="52" t="s">
        <v>105</v>
      </c>
      <c r="G209" s="52" t="s">
        <v>105</v>
      </c>
      <c r="H209" s="52" t="s">
        <v>105</v>
      </c>
      <c r="I209" s="53"/>
      <c r="J209" s="208"/>
      <c r="K209" s="68"/>
    </row>
    <row r="210" spans="1:11" s="6" customFormat="1" ht="12.75" customHeight="1">
      <c r="A210" s="115">
        <v>2.124</v>
      </c>
      <c r="B210" s="66" t="s">
        <v>1325</v>
      </c>
      <c r="C210" s="111" t="s">
        <v>1132</v>
      </c>
      <c r="D210" s="52" t="s">
        <v>152</v>
      </c>
      <c r="E210" s="99" t="s">
        <v>1326</v>
      </c>
      <c r="F210" s="52" t="s">
        <v>105</v>
      </c>
      <c r="G210" s="52" t="s">
        <v>105</v>
      </c>
      <c r="H210" s="52" t="s">
        <v>105</v>
      </c>
      <c r="I210" s="53"/>
      <c r="J210" s="208"/>
      <c r="K210" s="68"/>
    </row>
    <row r="211" spans="1:11" s="6" customFormat="1" ht="12.75" customHeight="1">
      <c r="A211" s="258">
        <v>2.302</v>
      </c>
      <c r="B211" s="52" t="s">
        <v>1765</v>
      </c>
      <c r="C211" s="111" t="s">
        <v>309</v>
      </c>
      <c r="D211" s="52" t="s">
        <v>152</v>
      </c>
      <c r="E211" s="99" t="s">
        <v>1766</v>
      </c>
      <c r="F211" s="52" t="s">
        <v>105</v>
      </c>
      <c r="G211" s="52" t="s">
        <v>105</v>
      </c>
      <c r="H211" s="52" t="s">
        <v>105</v>
      </c>
      <c r="I211" s="53"/>
      <c r="J211" s="208"/>
      <c r="K211" s="68"/>
    </row>
    <row r="212" spans="1:11" s="6" customFormat="1" ht="12.75" customHeight="1">
      <c r="A212" s="258">
        <v>2.302</v>
      </c>
      <c r="B212" s="156" t="s">
        <v>1772</v>
      </c>
      <c r="C212" s="111" t="s">
        <v>309</v>
      </c>
      <c r="D212" s="52" t="s">
        <v>152</v>
      </c>
      <c r="E212" s="99" t="s">
        <v>1771</v>
      </c>
      <c r="F212" s="52" t="s">
        <v>105</v>
      </c>
      <c r="G212" s="52" t="s">
        <v>105</v>
      </c>
      <c r="H212" s="52" t="s">
        <v>105</v>
      </c>
      <c r="I212" s="53"/>
      <c r="J212" s="208"/>
      <c r="K212" s="68"/>
    </row>
    <row r="213" spans="1:11" s="6" customFormat="1" ht="12.75" customHeight="1">
      <c r="A213" s="258">
        <v>2.302</v>
      </c>
      <c r="B213" s="156" t="s">
        <v>1923</v>
      </c>
      <c r="C213" s="111" t="s">
        <v>309</v>
      </c>
      <c r="D213" s="52" t="s">
        <v>152</v>
      </c>
      <c r="E213" s="99" t="s">
        <v>1921</v>
      </c>
      <c r="F213" s="52" t="s">
        <v>105</v>
      </c>
      <c r="G213" s="52" t="s">
        <v>105</v>
      </c>
      <c r="H213" s="52" t="s">
        <v>105</v>
      </c>
      <c r="I213" s="53"/>
      <c r="J213" s="208"/>
      <c r="K213" s="68"/>
    </row>
    <row r="214" spans="1:11" s="6" customFormat="1" ht="12.75" customHeight="1" thickBot="1">
      <c r="A214" s="258">
        <v>2.302</v>
      </c>
      <c r="B214" s="156" t="s">
        <v>1924</v>
      </c>
      <c r="C214" s="111" t="s">
        <v>309</v>
      </c>
      <c r="D214" s="52" t="s">
        <v>152</v>
      </c>
      <c r="E214" s="99" t="s">
        <v>1922</v>
      </c>
      <c r="F214" s="52" t="s">
        <v>105</v>
      </c>
      <c r="G214" s="52" t="s">
        <v>105</v>
      </c>
      <c r="H214" s="52" t="s">
        <v>105</v>
      </c>
      <c r="I214" s="53"/>
      <c r="J214" s="208"/>
      <c r="K214" s="68"/>
    </row>
    <row r="215" spans="1:11" s="65" customFormat="1" ht="21" customHeight="1" thickBot="1">
      <c r="A215" s="299" t="s">
        <v>1253</v>
      </c>
      <c r="B215" s="300"/>
      <c r="C215" s="300"/>
      <c r="D215" s="300"/>
      <c r="E215" s="301"/>
      <c r="F215" s="296" t="s">
        <v>87</v>
      </c>
      <c r="G215" s="297"/>
      <c r="H215" s="297"/>
      <c r="I215" s="297"/>
      <c r="J215" s="298"/>
      <c r="K215" s="190">
        <f>SUBTOTAL(3,D216:D217)</f>
        <v>2</v>
      </c>
    </row>
    <row r="216" spans="1:11" s="6" customFormat="1" ht="12.75" customHeight="1">
      <c r="A216" s="181">
        <v>2.394</v>
      </c>
      <c r="B216" s="53" t="s">
        <v>1571</v>
      </c>
      <c r="C216" s="33" t="s">
        <v>1886</v>
      </c>
      <c r="D216" s="118" t="s">
        <v>1253</v>
      </c>
      <c r="E216" s="99" t="s">
        <v>1572</v>
      </c>
      <c r="F216" s="52" t="s">
        <v>105</v>
      </c>
      <c r="G216" s="52" t="s">
        <v>105</v>
      </c>
      <c r="H216" s="52" t="s">
        <v>105</v>
      </c>
      <c r="I216" s="52"/>
      <c r="J216" s="207"/>
      <c r="K216" s="69"/>
    </row>
    <row r="217" spans="1:11" s="6" customFormat="1" ht="12.75" customHeight="1" thickBot="1">
      <c r="A217" s="175">
        <v>2.394</v>
      </c>
      <c r="B217" s="52" t="s">
        <v>1484</v>
      </c>
      <c r="C217" s="33" t="s">
        <v>1886</v>
      </c>
      <c r="D217" s="118" t="s">
        <v>1253</v>
      </c>
      <c r="E217" s="99" t="s">
        <v>1485</v>
      </c>
      <c r="F217" s="52" t="s">
        <v>105</v>
      </c>
      <c r="G217" s="52" t="s">
        <v>105</v>
      </c>
      <c r="H217" s="52" t="s">
        <v>105</v>
      </c>
      <c r="I217" s="52"/>
      <c r="J217" s="207"/>
      <c r="K217" s="69"/>
    </row>
    <row r="218" spans="1:11" s="65" customFormat="1" ht="21" customHeight="1" thickBot="1">
      <c r="A218" s="299" t="s">
        <v>78</v>
      </c>
      <c r="B218" s="300"/>
      <c r="C218" s="300"/>
      <c r="D218" s="300"/>
      <c r="E218" s="301"/>
      <c r="F218" s="296" t="s">
        <v>87</v>
      </c>
      <c r="G218" s="297"/>
      <c r="H218" s="297"/>
      <c r="I218" s="297"/>
      <c r="J218" s="298"/>
      <c r="K218" s="190">
        <f>SUBTOTAL(3,D219:D223)</f>
        <v>5</v>
      </c>
    </row>
    <row r="219" spans="1:11" s="6" customFormat="1" ht="12.75" customHeight="1">
      <c r="A219" s="96">
        <v>2.334</v>
      </c>
      <c r="B219" s="52" t="s">
        <v>208</v>
      </c>
      <c r="C219" s="117" t="s">
        <v>1045</v>
      </c>
      <c r="D219" s="118" t="s">
        <v>78</v>
      </c>
      <c r="E219" s="99" t="s">
        <v>174</v>
      </c>
      <c r="F219" s="53" t="s">
        <v>105</v>
      </c>
      <c r="G219" s="53" t="s">
        <v>105</v>
      </c>
      <c r="H219" s="53" t="s">
        <v>105</v>
      </c>
      <c r="I219" s="53"/>
      <c r="J219" s="208"/>
      <c r="K219" s="68"/>
    </row>
    <row r="220" spans="1:11" s="6" customFormat="1" ht="12.75" customHeight="1">
      <c r="A220" s="96">
        <v>2.334</v>
      </c>
      <c r="B220" s="52" t="s">
        <v>209</v>
      </c>
      <c r="C220" s="119" t="s">
        <v>1045</v>
      </c>
      <c r="D220" s="120" t="s">
        <v>78</v>
      </c>
      <c r="E220" s="99" t="s">
        <v>175</v>
      </c>
      <c r="F220" s="52" t="s">
        <v>105</v>
      </c>
      <c r="G220" s="52" t="s">
        <v>105</v>
      </c>
      <c r="H220" s="52" t="s">
        <v>105</v>
      </c>
      <c r="I220" s="52"/>
      <c r="J220" s="207"/>
      <c r="K220" s="69"/>
    </row>
    <row r="221" spans="1:11" s="6" customFormat="1" ht="12.75" customHeight="1">
      <c r="A221" s="96">
        <v>2.334</v>
      </c>
      <c r="B221" s="52" t="s">
        <v>210</v>
      </c>
      <c r="C221" s="119" t="s">
        <v>1045</v>
      </c>
      <c r="D221" s="120" t="s">
        <v>78</v>
      </c>
      <c r="E221" s="99" t="s">
        <v>1656</v>
      </c>
      <c r="F221" s="52" t="s">
        <v>105</v>
      </c>
      <c r="G221" s="52" t="s">
        <v>105</v>
      </c>
      <c r="H221" s="52" t="s">
        <v>105</v>
      </c>
      <c r="I221" s="52"/>
      <c r="J221" s="207"/>
      <c r="K221" s="69"/>
    </row>
    <row r="222" spans="1:11" s="6" customFormat="1" ht="12.75" customHeight="1">
      <c r="A222" s="96">
        <v>2.334</v>
      </c>
      <c r="B222" s="52" t="s">
        <v>1658</v>
      </c>
      <c r="C222" s="119" t="s">
        <v>1045</v>
      </c>
      <c r="D222" s="120" t="s">
        <v>78</v>
      </c>
      <c r="E222" s="99" t="s">
        <v>1657</v>
      </c>
      <c r="F222" s="52" t="s">
        <v>105</v>
      </c>
      <c r="G222" s="52" t="s">
        <v>105</v>
      </c>
      <c r="H222" s="52" t="s">
        <v>105</v>
      </c>
      <c r="I222" s="52"/>
      <c r="J222" s="207"/>
      <c r="K222" s="69"/>
    </row>
    <row r="223" spans="1:11" s="6" customFormat="1" ht="12.75" customHeight="1" thickBot="1">
      <c r="A223" s="96">
        <v>2.144</v>
      </c>
      <c r="B223" s="52" t="s">
        <v>1301</v>
      </c>
      <c r="C223" s="119" t="s">
        <v>1300</v>
      </c>
      <c r="D223" s="120" t="s">
        <v>78</v>
      </c>
      <c r="E223" s="99" t="s">
        <v>1302</v>
      </c>
      <c r="F223" s="52" t="s">
        <v>105</v>
      </c>
      <c r="G223" s="52" t="s">
        <v>105</v>
      </c>
      <c r="H223" s="52" t="s">
        <v>105</v>
      </c>
      <c r="I223" s="52"/>
      <c r="J223" s="207"/>
      <c r="K223" s="69"/>
    </row>
    <row r="224" spans="1:11" s="6" customFormat="1" ht="21" customHeight="1" thickBot="1">
      <c r="A224" s="299" t="s">
        <v>820</v>
      </c>
      <c r="B224" s="300"/>
      <c r="C224" s="300"/>
      <c r="D224" s="300"/>
      <c r="E224" s="301"/>
      <c r="F224" s="296" t="s">
        <v>87</v>
      </c>
      <c r="G224" s="297"/>
      <c r="H224" s="297"/>
      <c r="I224" s="297"/>
      <c r="J224" s="298"/>
      <c r="K224" s="190">
        <f>SUBTOTAL(3,D225:D226)</f>
        <v>2</v>
      </c>
    </row>
    <row r="225" spans="1:11" s="6" customFormat="1" ht="12.75" customHeight="1">
      <c r="A225" s="163">
        <v>2.215</v>
      </c>
      <c r="B225" s="52" t="s">
        <v>1916</v>
      </c>
      <c r="C225" s="224" t="s">
        <v>1893</v>
      </c>
      <c r="D225" s="166" t="s">
        <v>820</v>
      </c>
      <c r="E225" s="112" t="s">
        <v>1915</v>
      </c>
      <c r="F225" s="66" t="s">
        <v>105</v>
      </c>
      <c r="G225" s="66" t="s">
        <v>105</v>
      </c>
      <c r="H225" s="66" t="s">
        <v>105</v>
      </c>
      <c r="I225" s="66"/>
      <c r="J225" s="209"/>
      <c r="K225" s="70"/>
    </row>
    <row r="226" spans="1:11" s="6" customFormat="1" ht="12.75" customHeight="1" thickBot="1">
      <c r="A226" s="163">
        <v>2.215</v>
      </c>
      <c r="B226" s="140" t="s">
        <v>1894</v>
      </c>
      <c r="C226" s="224" t="s">
        <v>1893</v>
      </c>
      <c r="D226" s="166" t="s">
        <v>820</v>
      </c>
      <c r="E226" s="141" t="s">
        <v>1895</v>
      </c>
      <c r="F226" s="66" t="s">
        <v>105</v>
      </c>
      <c r="G226" s="66" t="s">
        <v>105</v>
      </c>
      <c r="H226" s="66" t="s">
        <v>105</v>
      </c>
      <c r="I226" s="66"/>
      <c r="J226" s="209"/>
      <c r="K226" s="70"/>
    </row>
    <row r="227" spans="1:11" s="6" customFormat="1" ht="21" customHeight="1" thickBot="1">
      <c r="A227" s="299" t="s">
        <v>823</v>
      </c>
      <c r="B227" s="300"/>
      <c r="C227" s="300"/>
      <c r="D227" s="300"/>
      <c r="E227" s="301"/>
      <c r="F227" s="296" t="s">
        <v>87</v>
      </c>
      <c r="G227" s="297"/>
      <c r="H227" s="297"/>
      <c r="I227" s="297"/>
      <c r="J227" s="298"/>
      <c r="K227" s="190">
        <f>SUBTOTAL(3,D228:D228)</f>
        <v>1</v>
      </c>
    </row>
    <row r="228" spans="1:11" s="6" customFormat="1" ht="12.75" customHeight="1" thickBot="1">
      <c r="A228" s="160">
        <v>2.302</v>
      </c>
      <c r="B228" s="156" t="s">
        <v>1820</v>
      </c>
      <c r="C228" s="33" t="s">
        <v>309</v>
      </c>
      <c r="D228" s="178" t="s">
        <v>823</v>
      </c>
      <c r="E228" s="112" t="s">
        <v>1821</v>
      </c>
      <c r="F228" s="179" t="s">
        <v>105</v>
      </c>
      <c r="G228" s="178" t="s">
        <v>105</v>
      </c>
      <c r="H228" s="178" t="s">
        <v>105</v>
      </c>
      <c r="I228" s="178"/>
      <c r="J228" s="210"/>
      <c r="K228" s="180"/>
    </row>
    <row r="229" spans="1:11" s="65" customFormat="1" ht="21" customHeight="1" thickBot="1">
      <c r="A229" s="299" t="s">
        <v>1096</v>
      </c>
      <c r="B229" s="300"/>
      <c r="C229" s="300"/>
      <c r="D229" s="300"/>
      <c r="E229" s="301"/>
      <c r="F229" s="296" t="s">
        <v>87</v>
      </c>
      <c r="G229" s="297"/>
      <c r="H229" s="297"/>
      <c r="I229" s="297"/>
      <c r="J229" s="298"/>
      <c r="K229" s="190">
        <f>SUBTOTAL(3,D230:D231)</f>
        <v>2</v>
      </c>
    </row>
    <row r="230" spans="1:11" s="89" customFormat="1" ht="12.75" customHeight="1">
      <c r="A230" s="124">
        <v>2.302</v>
      </c>
      <c r="B230" s="106" t="s">
        <v>1110</v>
      </c>
      <c r="C230" s="33" t="s">
        <v>309</v>
      </c>
      <c r="D230" s="48" t="s">
        <v>1096</v>
      </c>
      <c r="E230" s="125" t="s">
        <v>1111</v>
      </c>
      <c r="F230" s="90" t="s">
        <v>105</v>
      </c>
      <c r="G230" s="90" t="s">
        <v>105</v>
      </c>
      <c r="H230" s="90" t="s">
        <v>105</v>
      </c>
      <c r="I230" s="91"/>
      <c r="J230" s="212"/>
      <c r="K230" s="126" t="s">
        <v>105</v>
      </c>
    </row>
    <row r="231" spans="1:11" s="89" customFormat="1" ht="12.75" customHeight="1" thickBot="1">
      <c r="A231" s="124">
        <v>2.302</v>
      </c>
      <c r="B231" s="106" t="s">
        <v>1104</v>
      </c>
      <c r="C231" s="33" t="s">
        <v>309</v>
      </c>
      <c r="D231" s="48" t="s">
        <v>1096</v>
      </c>
      <c r="E231" s="125" t="s">
        <v>1105</v>
      </c>
      <c r="F231" s="90" t="s">
        <v>105</v>
      </c>
      <c r="G231" s="90" t="s">
        <v>105</v>
      </c>
      <c r="H231" s="90" t="s">
        <v>105</v>
      </c>
      <c r="I231" s="91"/>
      <c r="J231" s="212"/>
      <c r="K231" s="126" t="s">
        <v>105</v>
      </c>
    </row>
    <row r="232" spans="1:11" s="65" customFormat="1" ht="21" customHeight="1" thickBot="1">
      <c r="A232" s="299" t="s">
        <v>1649</v>
      </c>
      <c r="B232" s="300"/>
      <c r="C232" s="300"/>
      <c r="D232" s="300"/>
      <c r="E232" s="301"/>
      <c r="F232" s="296" t="s">
        <v>87</v>
      </c>
      <c r="G232" s="297"/>
      <c r="H232" s="297"/>
      <c r="I232" s="297"/>
      <c r="J232" s="298"/>
      <c r="K232" s="190">
        <f>SUBTOTAL(3,D233:D233)</f>
        <v>1</v>
      </c>
    </row>
    <row r="233" spans="1:11" s="65" customFormat="1" ht="12.75" customHeight="1" thickBot="1">
      <c r="A233" s="161">
        <v>2.302</v>
      </c>
      <c r="B233" s="162" t="s">
        <v>1650</v>
      </c>
      <c r="C233" s="33" t="s">
        <v>309</v>
      </c>
      <c r="D233" s="167" t="s">
        <v>1649</v>
      </c>
      <c r="E233" s="168" t="s">
        <v>1651</v>
      </c>
      <c r="F233" s="169" t="s">
        <v>105</v>
      </c>
      <c r="G233" s="167" t="s">
        <v>105</v>
      </c>
      <c r="H233" s="167" t="s">
        <v>105</v>
      </c>
      <c r="I233" s="167"/>
      <c r="J233" s="211"/>
      <c r="K233" s="170"/>
    </row>
    <row r="234" spans="1:11" s="65" customFormat="1" ht="21" customHeight="1" thickBot="1">
      <c r="A234" s="299" t="s">
        <v>148</v>
      </c>
      <c r="B234" s="300"/>
      <c r="C234" s="300"/>
      <c r="D234" s="300"/>
      <c r="E234" s="301"/>
      <c r="F234" s="296" t="s">
        <v>87</v>
      </c>
      <c r="G234" s="297"/>
      <c r="H234" s="297"/>
      <c r="I234" s="297"/>
      <c r="J234" s="298"/>
      <c r="K234" s="190">
        <f>SUBTOTAL(3,D235:D235)</f>
        <v>1</v>
      </c>
    </row>
    <row r="235" spans="1:11" s="65" customFormat="1" ht="12.75" customHeight="1" thickBot="1">
      <c r="A235" s="161">
        <v>2.167</v>
      </c>
      <c r="B235" s="162" t="s">
        <v>1069</v>
      </c>
      <c r="C235" s="36" t="s">
        <v>1070</v>
      </c>
      <c r="D235" s="167" t="s">
        <v>148</v>
      </c>
      <c r="E235" s="168" t="s">
        <v>1068</v>
      </c>
      <c r="F235" s="169" t="s">
        <v>105</v>
      </c>
      <c r="G235" s="167" t="s">
        <v>105</v>
      </c>
      <c r="H235" s="167" t="s">
        <v>105</v>
      </c>
      <c r="I235" s="167"/>
      <c r="J235" s="211"/>
      <c r="K235" s="170"/>
    </row>
    <row r="236" spans="1:11" s="65" customFormat="1" ht="21" customHeight="1" thickBot="1">
      <c r="A236" s="302" t="s">
        <v>163</v>
      </c>
      <c r="B236" s="303"/>
      <c r="C236" s="303"/>
      <c r="D236" s="303"/>
      <c r="E236" s="304"/>
      <c r="F236" s="296" t="s">
        <v>87</v>
      </c>
      <c r="G236" s="297"/>
      <c r="H236" s="297"/>
      <c r="I236" s="297"/>
      <c r="J236" s="298"/>
      <c r="K236" s="190">
        <f>SUBTOTAL(3,D237:D258)</f>
        <v>22</v>
      </c>
    </row>
    <row r="237" spans="1:11" s="89" customFormat="1" ht="12.75" customHeight="1">
      <c r="A237" s="124">
        <v>2.298</v>
      </c>
      <c r="B237" s="106" t="s">
        <v>173</v>
      </c>
      <c r="C237" s="33" t="s">
        <v>310</v>
      </c>
      <c r="D237" s="48" t="s">
        <v>163</v>
      </c>
      <c r="E237" s="125" t="s">
        <v>638</v>
      </c>
      <c r="F237" s="90" t="s">
        <v>105</v>
      </c>
      <c r="G237" s="90" t="s">
        <v>105</v>
      </c>
      <c r="H237" s="90" t="s">
        <v>105</v>
      </c>
      <c r="I237" s="91"/>
      <c r="J237" s="212"/>
      <c r="K237" s="71"/>
    </row>
    <row r="238" spans="1:11" s="89" customFormat="1" ht="12.75" customHeight="1">
      <c r="A238" s="124">
        <v>2.298</v>
      </c>
      <c r="B238" s="106" t="s">
        <v>1199</v>
      </c>
      <c r="C238" s="33" t="s">
        <v>310</v>
      </c>
      <c r="D238" s="48" t="s">
        <v>163</v>
      </c>
      <c r="E238" s="125" t="s">
        <v>1198</v>
      </c>
      <c r="F238" s="90" t="s">
        <v>105</v>
      </c>
      <c r="G238" s="90" t="s">
        <v>105</v>
      </c>
      <c r="H238" s="90" t="s">
        <v>105</v>
      </c>
      <c r="I238" s="91"/>
      <c r="J238" s="212"/>
      <c r="K238" s="71"/>
    </row>
    <row r="239" spans="1:11" s="89" customFormat="1" ht="12.75" customHeight="1">
      <c r="A239" s="124">
        <v>2.298</v>
      </c>
      <c r="B239" s="106" t="s">
        <v>1210</v>
      </c>
      <c r="C239" s="33" t="s">
        <v>310</v>
      </c>
      <c r="D239" s="48" t="s">
        <v>163</v>
      </c>
      <c r="E239" s="125" t="s">
        <v>1211</v>
      </c>
      <c r="F239" s="90" t="s">
        <v>105</v>
      </c>
      <c r="G239" s="90" t="s">
        <v>105</v>
      </c>
      <c r="H239" s="90" t="s">
        <v>105</v>
      </c>
      <c r="I239" s="91"/>
      <c r="J239" s="212"/>
      <c r="K239" s="71"/>
    </row>
    <row r="240" spans="1:11" s="6" customFormat="1" ht="12.75" customHeight="1">
      <c r="A240" s="96">
        <v>2.335</v>
      </c>
      <c r="B240" s="52" t="s">
        <v>708</v>
      </c>
      <c r="C240" s="34" t="s">
        <v>311</v>
      </c>
      <c r="D240" s="48" t="s">
        <v>163</v>
      </c>
      <c r="E240" s="99" t="s">
        <v>707</v>
      </c>
      <c r="F240" s="90" t="s">
        <v>105</v>
      </c>
      <c r="G240" s="90" t="s">
        <v>105</v>
      </c>
      <c r="H240" s="90" t="s">
        <v>105</v>
      </c>
      <c r="I240" s="91"/>
      <c r="J240" s="212"/>
      <c r="K240" s="69" t="s">
        <v>105</v>
      </c>
    </row>
    <row r="241" spans="1:11" s="6" customFormat="1" ht="12.75" customHeight="1">
      <c r="A241" s="96">
        <v>2.335</v>
      </c>
      <c r="B241" s="52" t="s">
        <v>787</v>
      </c>
      <c r="C241" s="34" t="s">
        <v>311</v>
      </c>
      <c r="D241" s="48" t="s">
        <v>163</v>
      </c>
      <c r="E241" s="99" t="s">
        <v>786</v>
      </c>
      <c r="F241" s="90" t="s">
        <v>105</v>
      </c>
      <c r="G241" s="90" t="s">
        <v>105</v>
      </c>
      <c r="H241" s="90" t="s">
        <v>105</v>
      </c>
      <c r="I241" s="91"/>
      <c r="J241" s="212"/>
      <c r="K241" s="69"/>
    </row>
    <row r="242" spans="1:11" s="6" customFormat="1" ht="12.75" customHeight="1">
      <c r="A242" s="96">
        <v>2.335</v>
      </c>
      <c r="B242" s="52" t="s">
        <v>796</v>
      </c>
      <c r="C242" s="34" t="s">
        <v>311</v>
      </c>
      <c r="D242" s="48" t="s">
        <v>163</v>
      </c>
      <c r="E242" s="99" t="s">
        <v>795</v>
      </c>
      <c r="F242" s="90" t="s">
        <v>105</v>
      </c>
      <c r="G242" s="90" t="s">
        <v>105</v>
      </c>
      <c r="H242" s="90" t="s">
        <v>105</v>
      </c>
      <c r="I242" s="91"/>
      <c r="J242" s="212"/>
      <c r="K242" s="69" t="s">
        <v>105</v>
      </c>
    </row>
    <row r="243" spans="1:11" s="6" customFormat="1" ht="12.75" customHeight="1">
      <c r="A243" s="96">
        <v>2.335</v>
      </c>
      <c r="B243" s="52" t="s">
        <v>683</v>
      </c>
      <c r="C243" s="34" t="s">
        <v>311</v>
      </c>
      <c r="D243" s="48" t="s">
        <v>163</v>
      </c>
      <c r="E243" s="99" t="s">
        <v>682</v>
      </c>
      <c r="F243" s="90" t="s">
        <v>105</v>
      </c>
      <c r="G243" s="90" t="s">
        <v>105</v>
      </c>
      <c r="H243" s="90" t="s">
        <v>105</v>
      </c>
      <c r="I243" s="91"/>
      <c r="J243" s="212"/>
      <c r="K243" s="71"/>
    </row>
    <row r="244" spans="1:11" s="6" customFormat="1" ht="12.75" customHeight="1">
      <c r="A244" s="96">
        <v>2.335</v>
      </c>
      <c r="B244" s="52" t="s">
        <v>693</v>
      </c>
      <c r="C244" s="34" t="s">
        <v>311</v>
      </c>
      <c r="D244" s="48" t="s">
        <v>163</v>
      </c>
      <c r="E244" s="99" t="s">
        <v>694</v>
      </c>
      <c r="F244" s="90" t="s">
        <v>105</v>
      </c>
      <c r="G244" s="90" t="s">
        <v>105</v>
      </c>
      <c r="H244" s="90" t="s">
        <v>105</v>
      </c>
      <c r="I244" s="91"/>
      <c r="J244" s="212"/>
      <c r="K244" s="71"/>
    </row>
    <row r="245" spans="1:11" s="6" customFormat="1" ht="12.75" customHeight="1">
      <c r="A245" s="96">
        <v>2.335</v>
      </c>
      <c r="B245" s="52" t="s">
        <v>662</v>
      </c>
      <c r="C245" s="34" t="s">
        <v>311</v>
      </c>
      <c r="D245" s="48" t="s">
        <v>163</v>
      </c>
      <c r="E245" s="99" t="s">
        <v>661</v>
      </c>
      <c r="F245" s="90" t="s">
        <v>105</v>
      </c>
      <c r="G245" s="90" t="s">
        <v>105</v>
      </c>
      <c r="H245" s="90" t="s">
        <v>105</v>
      </c>
      <c r="I245" s="48"/>
      <c r="J245" s="213"/>
      <c r="K245" s="69" t="s">
        <v>105</v>
      </c>
    </row>
    <row r="246" spans="1:11" s="6" customFormat="1" ht="12.75" customHeight="1">
      <c r="A246" s="96">
        <v>2.335</v>
      </c>
      <c r="B246" s="52" t="s">
        <v>168</v>
      </c>
      <c r="C246" s="34" t="s">
        <v>311</v>
      </c>
      <c r="D246" s="48" t="s">
        <v>163</v>
      </c>
      <c r="E246" s="99" t="s">
        <v>446</v>
      </c>
      <c r="F246" s="90" t="s">
        <v>105</v>
      </c>
      <c r="G246" s="90" t="s">
        <v>105</v>
      </c>
      <c r="H246" s="90" t="s">
        <v>105</v>
      </c>
      <c r="I246" s="48"/>
      <c r="J246" s="213"/>
      <c r="K246" s="69" t="s">
        <v>105</v>
      </c>
    </row>
    <row r="247" spans="1:11" s="6" customFormat="1" ht="12.75" customHeight="1">
      <c r="A247" s="96">
        <v>2.335</v>
      </c>
      <c r="B247" s="52" t="s">
        <v>169</v>
      </c>
      <c r="C247" s="34" t="s">
        <v>311</v>
      </c>
      <c r="D247" s="48" t="s">
        <v>163</v>
      </c>
      <c r="E247" s="99" t="s">
        <v>166</v>
      </c>
      <c r="F247" s="90" t="s">
        <v>105</v>
      </c>
      <c r="G247" s="90" t="s">
        <v>105</v>
      </c>
      <c r="H247" s="90" t="s">
        <v>105</v>
      </c>
      <c r="I247" s="48"/>
      <c r="J247" s="213"/>
      <c r="K247" s="54"/>
    </row>
    <row r="248" spans="1:11" s="6" customFormat="1" ht="12.75" customHeight="1">
      <c r="A248" s="96">
        <v>2.335</v>
      </c>
      <c r="B248" s="52" t="s">
        <v>171</v>
      </c>
      <c r="C248" s="34" t="s">
        <v>311</v>
      </c>
      <c r="D248" s="48" t="s">
        <v>163</v>
      </c>
      <c r="E248" s="99" t="s">
        <v>273</v>
      </c>
      <c r="F248" s="90" t="s">
        <v>105</v>
      </c>
      <c r="G248" s="90" t="s">
        <v>105</v>
      </c>
      <c r="H248" s="90" t="s">
        <v>105</v>
      </c>
      <c r="I248" s="48"/>
      <c r="J248" s="213"/>
      <c r="K248" s="54"/>
    </row>
    <row r="249" spans="1:11" s="6" customFormat="1" ht="12.75" customHeight="1">
      <c r="A249" s="96">
        <v>2.335</v>
      </c>
      <c r="B249" s="52" t="s">
        <v>172</v>
      </c>
      <c r="C249" s="34" t="s">
        <v>311</v>
      </c>
      <c r="D249" s="48" t="s">
        <v>163</v>
      </c>
      <c r="E249" s="99" t="s">
        <v>167</v>
      </c>
      <c r="F249" s="90" t="s">
        <v>105</v>
      </c>
      <c r="G249" s="90" t="s">
        <v>105</v>
      </c>
      <c r="H249" s="90" t="s">
        <v>105</v>
      </c>
      <c r="I249" s="48"/>
      <c r="J249" s="213"/>
      <c r="K249" s="54"/>
    </row>
    <row r="250" spans="1:11" s="6" customFormat="1" ht="12.75" customHeight="1">
      <c r="A250" s="96">
        <v>2.335</v>
      </c>
      <c r="B250" s="52" t="s">
        <v>170</v>
      </c>
      <c r="C250" s="34" t="s">
        <v>311</v>
      </c>
      <c r="D250" s="48" t="s">
        <v>163</v>
      </c>
      <c r="E250" s="99" t="s">
        <v>447</v>
      </c>
      <c r="F250" s="90" t="s">
        <v>105</v>
      </c>
      <c r="G250" s="90" t="s">
        <v>105</v>
      </c>
      <c r="H250" s="90" t="s">
        <v>105</v>
      </c>
      <c r="I250" s="48"/>
      <c r="J250" s="213"/>
      <c r="K250" s="54"/>
    </row>
    <row r="251" spans="1:11" s="6" customFormat="1" ht="12.75" customHeight="1">
      <c r="A251" s="96">
        <v>2.335</v>
      </c>
      <c r="B251" s="52" t="s">
        <v>1087</v>
      </c>
      <c r="C251" s="34" t="s">
        <v>311</v>
      </c>
      <c r="D251" s="48" t="s">
        <v>163</v>
      </c>
      <c r="E251" s="99" t="s">
        <v>1088</v>
      </c>
      <c r="F251" s="90" t="s">
        <v>105</v>
      </c>
      <c r="G251" s="90" t="s">
        <v>105</v>
      </c>
      <c r="H251" s="90" t="s">
        <v>105</v>
      </c>
      <c r="I251" s="48"/>
      <c r="J251" s="213"/>
      <c r="K251" s="54"/>
    </row>
    <row r="252" spans="1:11" s="6" customFormat="1" ht="12.75" customHeight="1">
      <c r="A252" s="96">
        <v>2.335</v>
      </c>
      <c r="B252" s="52" t="s">
        <v>1109</v>
      </c>
      <c r="C252" s="34" t="s">
        <v>311</v>
      </c>
      <c r="D252" s="48" t="s">
        <v>163</v>
      </c>
      <c r="E252" s="99" t="s">
        <v>1108</v>
      </c>
      <c r="F252" s="90" t="s">
        <v>105</v>
      </c>
      <c r="G252" s="90" t="s">
        <v>105</v>
      </c>
      <c r="H252" s="90" t="s">
        <v>105</v>
      </c>
      <c r="I252" s="48"/>
      <c r="J252" s="213"/>
      <c r="K252" s="54"/>
    </row>
    <row r="253" spans="1:11" s="6" customFormat="1" ht="12.75" customHeight="1">
      <c r="A253" s="96">
        <v>2.353</v>
      </c>
      <c r="B253" s="52" t="s">
        <v>1284</v>
      </c>
      <c r="C253" s="33" t="s">
        <v>818</v>
      </c>
      <c r="D253" s="48" t="s">
        <v>163</v>
      </c>
      <c r="E253" s="99" t="s">
        <v>1285</v>
      </c>
      <c r="F253" s="90" t="s">
        <v>105</v>
      </c>
      <c r="G253" s="90" t="s">
        <v>105</v>
      </c>
      <c r="H253" s="90" t="s">
        <v>105</v>
      </c>
      <c r="I253" s="48"/>
      <c r="J253" s="213"/>
      <c r="K253" s="54"/>
    </row>
    <row r="254" spans="1:11" s="6" customFormat="1" ht="12.75" customHeight="1">
      <c r="A254" s="96">
        <v>2.353</v>
      </c>
      <c r="B254" s="52" t="s">
        <v>1149</v>
      </c>
      <c r="C254" s="33" t="s">
        <v>818</v>
      </c>
      <c r="D254" s="48" t="s">
        <v>163</v>
      </c>
      <c r="E254" s="99" t="s">
        <v>1150</v>
      </c>
      <c r="F254" s="90" t="s">
        <v>105</v>
      </c>
      <c r="G254" s="90" t="s">
        <v>105</v>
      </c>
      <c r="H254" s="90" t="s">
        <v>105</v>
      </c>
      <c r="I254" s="48"/>
      <c r="J254" s="213"/>
      <c r="K254" s="54"/>
    </row>
    <row r="255" spans="1:11" s="6" customFormat="1" ht="12.75" customHeight="1">
      <c r="A255" s="96">
        <v>2.353</v>
      </c>
      <c r="B255" s="52" t="s">
        <v>845</v>
      </c>
      <c r="C255" s="33" t="s">
        <v>818</v>
      </c>
      <c r="D255" s="48" t="s">
        <v>163</v>
      </c>
      <c r="E255" s="99" t="s">
        <v>844</v>
      </c>
      <c r="F255" s="90" t="s">
        <v>105</v>
      </c>
      <c r="G255" s="90" t="s">
        <v>105</v>
      </c>
      <c r="H255" s="90" t="s">
        <v>105</v>
      </c>
      <c r="I255" s="48"/>
      <c r="J255" s="213"/>
      <c r="K255" s="54"/>
    </row>
    <row r="256" spans="1:11" s="6" customFormat="1" ht="12.75" customHeight="1">
      <c r="A256" s="96">
        <v>2.353</v>
      </c>
      <c r="B256" s="52" t="s">
        <v>689</v>
      </c>
      <c r="C256" s="33" t="s">
        <v>818</v>
      </c>
      <c r="D256" s="48" t="s">
        <v>163</v>
      </c>
      <c r="E256" s="99" t="s">
        <v>687</v>
      </c>
      <c r="F256" s="90" t="s">
        <v>105</v>
      </c>
      <c r="G256" s="90" t="s">
        <v>105</v>
      </c>
      <c r="H256" s="90" t="s">
        <v>105</v>
      </c>
      <c r="I256" s="91"/>
      <c r="J256" s="212"/>
      <c r="K256" s="71"/>
    </row>
    <row r="257" spans="1:11" s="6" customFormat="1" ht="12.75" customHeight="1">
      <c r="A257" s="96">
        <v>2.353</v>
      </c>
      <c r="B257" s="52" t="s">
        <v>1128</v>
      </c>
      <c r="C257" s="33" t="s">
        <v>818</v>
      </c>
      <c r="D257" s="48" t="s">
        <v>163</v>
      </c>
      <c r="E257" s="99" t="s">
        <v>1129</v>
      </c>
      <c r="F257" s="90" t="s">
        <v>105</v>
      </c>
      <c r="G257" s="90" t="s">
        <v>105</v>
      </c>
      <c r="H257" s="90" t="s">
        <v>105</v>
      </c>
      <c r="I257" s="91"/>
      <c r="J257" s="212"/>
      <c r="K257" s="71"/>
    </row>
    <row r="258" spans="1:11" s="6" customFormat="1" ht="12.75" customHeight="1" thickBot="1">
      <c r="A258" s="96">
        <v>2.353</v>
      </c>
      <c r="B258" s="52" t="s">
        <v>690</v>
      </c>
      <c r="C258" s="33" t="s">
        <v>818</v>
      </c>
      <c r="D258" s="48" t="s">
        <v>163</v>
      </c>
      <c r="E258" s="99" t="s">
        <v>688</v>
      </c>
      <c r="F258" s="90" t="s">
        <v>105</v>
      </c>
      <c r="G258" s="90" t="s">
        <v>105</v>
      </c>
      <c r="H258" s="90" t="s">
        <v>105</v>
      </c>
      <c r="I258" s="91"/>
      <c r="J258" s="212"/>
      <c r="K258" s="71"/>
    </row>
    <row r="259" spans="1:11" s="65" customFormat="1" ht="21" customHeight="1" thickBot="1">
      <c r="A259" s="299" t="s">
        <v>1414</v>
      </c>
      <c r="B259" s="300"/>
      <c r="C259" s="300"/>
      <c r="D259" s="300"/>
      <c r="E259" s="301"/>
      <c r="F259" s="296" t="s">
        <v>87</v>
      </c>
      <c r="G259" s="297"/>
      <c r="H259" s="297"/>
      <c r="I259" s="297"/>
      <c r="J259" s="298"/>
      <c r="K259" s="190">
        <f>SUBTOTAL(3,D260:D262)</f>
        <v>3</v>
      </c>
    </row>
    <row r="260" spans="1:11" s="6" customFormat="1" ht="12.75" customHeight="1">
      <c r="A260" s="175">
        <v>2.394</v>
      </c>
      <c r="B260" s="52" t="s">
        <v>1525</v>
      </c>
      <c r="C260" s="33" t="s">
        <v>1886</v>
      </c>
      <c r="D260" s="49" t="s">
        <v>1414</v>
      </c>
      <c r="E260" s="99" t="s">
        <v>1526</v>
      </c>
      <c r="F260" s="52" t="s">
        <v>105</v>
      </c>
      <c r="G260" s="52" t="s">
        <v>105</v>
      </c>
      <c r="H260" s="52" t="s">
        <v>105</v>
      </c>
      <c r="I260" s="52"/>
      <c r="J260" s="207"/>
      <c r="K260" s="72"/>
    </row>
    <row r="261" spans="1:11" s="6" customFormat="1" ht="12.75" customHeight="1">
      <c r="A261" s="175">
        <v>2.394</v>
      </c>
      <c r="B261" s="52" t="s">
        <v>1513</v>
      </c>
      <c r="C261" s="33" t="s">
        <v>1886</v>
      </c>
      <c r="D261" s="49" t="s">
        <v>1414</v>
      </c>
      <c r="E261" s="99" t="s">
        <v>1514</v>
      </c>
      <c r="F261" s="52" t="s">
        <v>105</v>
      </c>
      <c r="G261" s="52" t="s">
        <v>105</v>
      </c>
      <c r="H261" s="52" t="s">
        <v>105</v>
      </c>
      <c r="I261" s="52"/>
      <c r="J261" s="207"/>
      <c r="K261" s="72"/>
    </row>
    <row r="262" spans="1:11" s="6" customFormat="1" ht="12.75" customHeight="1" thickBot="1">
      <c r="A262" s="175">
        <v>2.394</v>
      </c>
      <c r="B262" s="52" t="s">
        <v>1490</v>
      </c>
      <c r="C262" s="33" t="s">
        <v>1886</v>
      </c>
      <c r="D262" s="49" t="s">
        <v>1414</v>
      </c>
      <c r="E262" s="99" t="s">
        <v>1491</v>
      </c>
      <c r="F262" s="52" t="s">
        <v>105</v>
      </c>
      <c r="G262" s="52" t="s">
        <v>105</v>
      </c>
      <c r="H262" s="52" t="s">
        <v>105</v>
      </c>
      <c r="I262" s="52"/>
      <c r="J262" s="207"/>
      <c r="K262" s="72"/>
    </row>
    <row r="263" spans="1:11" s="65" customFormat="1" ht="21" customHeight="1" thickBot="1">
      <c r="A263" s="299" t="s">
        <v>982</v>
      </c>
      <c r="B263" s="300"/>
      <c r="C263" s="300"/>
      <c r="D263" s="300"/>
      <c r="E263" s="301"/>
      <c r="F263" s="296" t="s">
        <v>87</v>
      </c>
      <c r="G263" s="297"/>
      <c r="H263" s="297"/>
      <c r="I263" s="297"/>
      <c r="J263" s="298"/>
      <c r="K263" s="190">
        <f>SUBTOTAL(3,D264:D264)</f>
        <v>1</v>
      </c>
    </row>
    <row r="264" spans="1:11" s="6" customFormat="1" ht="12.75" customHeight="1" thickBot="1">
      <c r="A264" s="96">
        <v>2.297</v>
      </c>
      <c r="B264" s="52" t="s">
        <v>211</v>
      </c>
      <c r="C264" s="112" t="s">
        <v>308</v>
      </c>
      <c r="D264" s="49" t="s">
        <v>165</v>
      </c>
      <c r="E264" s="99" t="s">
        <v>1164</v>
      </c>
      <c r="F264" s="52" t="s">
        <v>105</v>
      </c>
      <c r="G264" s="52" t="s">
        <v>105</v>
      </c>
      <c r="H264" s="52" t="s">
        <v>105</v>
      </c>
      <c r="I264" s="52"/>
      <c r="J264" s="207"/>
      <c r="K264" s="72"/>
    </row>
    <row r="265" spans="1:11" s="65" customFormat="1" ht="21" customHeight="1" thickBot="1">
      <c r="A265" s="299" t="s">
        <v>158</v>
      </c>
      <c r="B265" s="300"/>
      <c r="C265" s="300"/>
      <c r="D265" s="300"/>
      <c r="E265" s="301"/>
      <c r="F265" s="296" t="s">
        <v>87</v>
      </c>
      <c r="G265" s="297"/>
      <c r="H265" s="297"/>
      <c r="I265" s="297"/>
      <c r="J265" s="298"/>
      <c r="K265" s="190">
        <f>SUBTOTAL(3,D266:D291)</f>
        <v>26</v>
      </c>
    </row>
    <row r="266" spans="1:11" s="43" customFormat="1" ht="12.75" customHeight="1">
      <c r="A266" s="96">
        <v>2.43</v>
      </c>
      <c r="B266" s="52" t="s">
        <v>213</v>
      </c>
      <c r="C266" s="32" t="s">
        <v>1133</v>
      </c>
      <c r="D266" s="53" t="s">
        <v>158</v>
      </c>
      <c r="E266" s="99" t="s">
        <v>1165</v>
      </c>
      <c r="F266" s="52" t="s">
        <v>105</v>
      </c>
      <c r="G266" s="52" t="s">
        <v>105</v>
      </c>
      <c r="H266" s="52" t="s">
        <v>105</v>
      </c>
      <c r="I266" s="52"/>
      <c r="J266" s="207"/>
      <c r="K266" s="69" t="s">
        <v>105</v>
      </c>
    </row>
    <row r="267" spans="1:11" s="43" customFormat="1" ht="12.75" customHeight="1">
      <c r="A267" s="96">
        <v>2.43</v>
      </c>
      <c r="B267" s="52" t="s">
        <v>214</v>
      </c>
      <c r="C267" s="32" t="s">
        <v>1133</v>
      </c>
      <c r="D267" s="53" t="s">
        <v>158</v>
      </c>
      <c r="E267" s="99" t="s">
        <v>1166</v>
      </c>
      <c r="F267" s="52" t="s">
        <v>105</v>
      </c>
      <c r="G267" s="52" t="s">
        <v>105</v>
      </c>
      <c r="H267" s="52" t="s">
        <v>105</v>
      </c>
      <c r="I267" s="52" t="s">
        <v>105</v>
      </c>
      <c r="J267" s="207"/>
      <c r="K267" s="69"/>
    </row>
    <row r="268" spans="1:11" s="43" customFormat="1" ht="12.75" customHeight="1">
      <c r="A268" s="96">
        <v>2.43</v>
      </c>
      <c r="B268" s="52" t="s">
        <v>212</v>
      </c>
      <c r="C268" s="32" t="s">
        <v>1133</v>
      </c>
      <c r="D268" s="53" t="s">
        <v>158</v>
      </c>
      <c r="E268" s="99" t="s">
        <v>1167</v>
      </c>
      <c r="F268" s="52" t="s">
        <v>105</v>
      </c>
      <c r="G268" s="52" t="s">
        <v>105</v>
      </c>
      <c r="H268" s="52" t="s">
        <v>105</v>
      </c>
      <c r="I268" s="52"/>
      <c r="J268" s="207"/>
      <c r="K268" s="69" t="s">
        <v>105</v>
      </c>
    </row>
    <row r="269" spans="1:11" s="43" customFormat="1" ht="12.75" customHeight="1">
      <c r="A269" s="115">
        <v>2.43</v>
      </c>
      <c r="B269" s="66" t="s">
        <v>1229</v>
      </c>
      <c r="C269" s="32" t="s">
        <v>1133</v>
      </c>
      <c r="D269" s="53" t="s">
        <v>158</v>
      </c>
      <c r="E269" s="165" t="s">
        <v>1230</v>
      </c>
      <c r="F269" s="52" t="s">
        <v>105</v>
      </c>
      <c r="G269" s="52" t="s">
        <v>105</v>
      </c>
      <c r="H269" s="52" t="s">
        <v>105</v>
      </c>
      <c r="I269" s="66"/>
      <c r="J269" s="209"/>
      <c r="K269" s="70"/>
    </row>
    <row r="270" spans="1:11" s="43" customFormat="1" ht="12.75" customHeight="1">
      <c r="A270" s="115">
        <v>2.394</v>
      </c>
      <c r="B270" s="66" t="s">
        <v>1538</v>
      </c>
      <c r="C270" s="33" t="s">
        <v>1886</v>
      </c>
      <c r="D270" s="53" t="s">
        <v>158</v>
      </c>
      <c r="E270" s="165" t="s">
        <v>1529</v>
      </c>
      <c r="F270" s="52" t="s">
        <v>105</v>
      </c>
      <c r="G270" s="52" t="s">
        <v>105</v>
      </c>
      <c r="H270" s="52" t="s">
        <v>105</v>
      </c>
      <c r="I270" s="66"/>
      <c r="J270" s="209"/>
      <c r="K270" s="70"/>
    </row>
    <row r="271" spans="1:11" s="43" customFormat="1" ht="12.75" customHeight="1">
      <c r="A271" s="115">
        <v>2.394</v>
      </c>
      <c r="B271" s="66" t="s">
        <v>1539</v>
      </c>
      <c r="C271" s="33" t="s">
        <v>1886</v>
      </c>
      <c r="D271" s="53" t="s">
        <v>158</v>
      </c>
      <c r="E271" s="165" t="s">
        <v>1530</v>
      </c>
      <c r="F271" s="52" t="s">
        <v>105</v>
      </c>
      <c r="G271" s="52" t="s">
        <v>105</v>
      </c>
      <c r="H271" s="52" t="s">
        <v>105</v>
      </c>
      <c r="I271" s="66"/>
      <c r="J271" s="209"/>
      <c r="K271" s="70"/>
    </row>
    <row r="272" spans="1:11" s="43" customFormat="1" ht="12.75" customHeight="1">
      <c r="A272" s="115">
        <v>2.394</v>
      </c>
      <c r="B272" s="66" t="s">
        <v>1540</v>
      </c>
      <c r="C272" s="33" t="s">
        <v>1886</v>
      </c>
      <c r="D272" s="53" t="s">
        <v>158</v>
      </c>
      <c r="E272" s="165" t="s">
        <v>1531</v>
      </c>
      <c r="F272" s="52" t="s">
        <v>105</v>
      </c>
      <c r="G272" s="52" t="s">
        <v>105</v>
      </c>
      <c r="H272" s="52" t="s">
        <v>105</v>
      </c>
      <c r="I272" s="66"/>
      <c r="J272" s="209"/>
      <c r="K272" s="70"/>
    </row>
    <row r="273" spans="1:11" s="43" customFormat="1" ht="12.75" customHeight="1">
      <c r="A273" s="115">
        <v>2.394</v>
      </c>
      <c r="B273" s="66" t="s">
        <v>1541</v>
      </c>
      <c r="C273" s="33" t="s">
        <v>1886</v>
      </c>
      <c r="D273" s="53" t="s">
        <v>158</v>
      </c>
      <c r="E273" s="165" t="s">
        <v>1532</v>
      </c>
      <c r="F273" s="52" t="s">
        <v>105</v>
      </c>
      <c r="G273" s="52" t="s">
        <v>105</v>
      </c>
      <c r="H273" s="52" t="s">
        <v>105</v>
      </c>
      <c r="I273" s="66"/>
      <c r="J273" s="209"/>
      <c r="K273" s="70"/>
    </row>
    <row r="274" spans="1:11" s="43" customFormat="1" ht="12.75" customHeight="1">
      <c r="A274" s="115">
        <v>2.394</v>
      </c>
      <c r="B274" s="66" t="s">
        <v>1542</v>
      </c>
      <c r="C274" s="33" t="s">
        <v>1886</v>
      </c>
      <c r="D274" s="53" t="s">
        <v>158</v>
      </c>
      <c r="E274" s="165" t="s">
        <v>1533</v>
      </c>
      <c r="F274" s="52" t="s">
        <v>105</v>
      </c>
      <c r="G274" s="52" t="s">
        <v>105</v>
      </c>
      <c r="H274" s="52" t="s">
        <v>105</v>
      </c>
      <c r="I274" s="66"/>
      <c r="J274" s="209"/>
      <c r="K274" s="70"/>
    </row>
    <row r="275" spans="1:11" s="43" customFormat="1" ht="12.75" customHeight="1">
      <c r="A275" s="115">
        <v>2.394</v>
      </c>
      <c r="B275" s="66" t="s">
        <v>1543</v>
      </c>
      <c r="C275" s="33" t="s">
        <v>1886</v>
      </c>
      <c r="D275" s="53" t="s">
        <v>158</v>
      </c>
      <c r="E275" s="165" t="s">
        <v>1534</v>
      </c>
      <c r="F275" s="52" t="s">
        <v>105</v>
      </c>
      <c r="G275" s="52" t="s">
        <v>105</v>
      </c>
      <c r="H275" s="52" t="s">
        <v>105</v>
      </c>
      <c r="I275" s="66"/>
      <c r="J275" s="209"/>
      <c r="K275" s="70"/>
    </row>
    <row r="276" spans="1:11" s="43" customFormat="1" ht="12.75" customHeight="1">
      <c r="A276" s="115">
        <v>2.394</v>
      </c>
      <c r="B276" s="66" t="s">
        <v>1574</v>
      </c>
      <c r="C276" s="33" t="s">
        <v>1886</v>
      </c>
      <c r="D276" s="53" t="s">
        <v>158</v>
      </c>
      <c r="E276" s="165" t="s">
        <v>1573</v>
      </c>
      <c r="F276" s="52" t="s">
        <v>105</v>
      </c>
      <c r="G276" s="52" t="s">
        <v>105</v>
      </c>
      <c r="H276" s="52" t="s">
        <v>105</v>
      </c>
      <c r="I276" s="66"/>
      <c r="J276" s="209"/>
      <c r="K276" s="70"/>
    </row>
    <row r="277" spans="1:11" s="43" customFormat="1" ht="12.75" customHeight="1">
      <c r="A277" s="115">
        <v>2.394</v>
      </c>
      <c r="B277" s="66" t="s">
        <v>1544</v>
      </c>
      <c r="C277" s="33" t="s">
        <v>1886</v>
      </c>
      <c r="D277" s="53" t="s">
        <v>158</v>
      </c>
      <c r="E277" s="165" t="s">
        <v>1535</v>
      </c>
      <c r="F277" s="52" t="s">
        <v>105</v>
      </c>
      <c r="G277" s="52" t="s">
        <v>105</v>
      </c>
      <c r="H277" s="52" t="s">
        <v>105</v>
      </c>
      <c r="I277" s="66"/>
      <c r="J277" s="209"/>
      <c r="K277" s="70"/>
    </row>
    <row r="278" spans="1:11" s="43" customFormat="1" ht="12.75" customHeight="1">
      <c r="A278" s="115">
        <v>2.394</v>
      </c>
      <c r="B278" s="66" t="s">
        <v>1545</v>
      </c>
      <c r="C278" s="33" t="s">
        <v>1886</v>
      </c>
      <c r="D278" s="53" t="s">
        <v>158</v>
      </c>
      <c r="E278" s="165" t="s">
        <v>1536</v>
      </c>
      <c r="F278" s="52" t="s">
        <v>105</v>
      </c>
      <c r="G278" s="52" t="s">
        <v>105</v>
      </c>
      <c r="H278" s="52" t="s">
        <v>105</v>
      </c>
      <c r="I278" s="66"/>
      <c r="J278" s="209"/>
      <c r="K278" s="70"/>
    </row>
    <row r="279" spans="1:11" s="43" customFormat="1" ht="12.75" customHeight="1">
      <c r="A279" s="115">
        <v>2.394</v>
      </c>
      <c r="B279" s="66" t="s">
        <v>1795</v>
      </c>
      <c r="C279" s="33" t="s">
        <v>1886</v>
      </c>
      <c r="D279" s="53" t="s">
        <v>158</v>
      </c>
      <c r="E279" s="165" t="s">
        <v>1794</v>
      </c>
      <c r="F279" s="52" t="s">
        <v>105</v>
      </c>
      <c r="G279" s="52" t="s">
        <v>105</v>
      </c>
      <c r="H279" s="52" t="s">
        <v>105</v>
      </c>
      <c r="I279" s="66"/>
      <c r="J279" s="209"/>
      <c r="K279" s="70"/>
    </row>
    <row r="280" spans="1:11" s="43" customFormat="1" ht="12.75" customHeight="1">
      <c r="A280" s="115">
        <v>2.394</v>
      </c>
      <c r="B280" s="66" t="s">
        <v>1546</v>
      </c>
      <c r="C280" s="33" t="s">
        <v>1886</v>
      </c>
      <c r="D280" s="53" t="s">
        <v>158</v>
      </c>
      <c r="E280" s="165" t="s">
        <v>1537</v>
      </c>
      <c r="F280" s="52" t="s">
        <v>105</v>
      </c>
      <c r="G280" s="52" t="s">
        <v>105</v>
      </c>
      <c r="H280" s="52" t="s">
        <v>105</v>
      </c>
      <c r="I280" s="66"/>
      <c r="J280" s="209"/>
      <c r="K280" s="70"/>
    </row>
    <row r="281" spans="1:11" s="43" customFormat="1" ht="12.75" customHeight="1">
      <c r="A281" s="115">
        <v>2.394</v>
      </c>
      <c r="B281" s="66" t="s">
        <v>1601</v>
      </c>
      <c r="C281" s="33" t="s">
        <v>1886</v>
      </c>
      <c r="D281" s="53" t="s">
        <v>158</v>
      </c>
      <c r="E281" s="165" t="s">
        <v>1599</v>
      </c>
      <c r="F281" s="52" t="s">
        <v>105</v>
      </c>
      <c r="G281" s="52" t="s">
        <v>105</v>
      </c>
      <c r="H281" s="52" t="s">
        <v>105</v>
      </c>
      <c r="I281" s="66"/>
      <c r="J281" s="209"/>
      <c r="K281" s="70"/>
    </row>
    <row r="282" spans="1:11" s="43" customFormat="1" ht="12.75" customHeight="1">
      <c r="A282" s="115">
        <v>2.394</v>
      </c>
      <c r="B282" s="66" t="s">
        <v>1602</v>
      </c>
      <c r="C282" s="33" t="s">
        <v>1886</v>
      </c>
      <c r="D282" s="53" t="s">
        <v>158</v>
      </c>
      <c r="E282" s="165" t="s">
        <v>1600</v>
      </c>
      <c r="F282" s="52"/>
      <c r="G282" s="52"/>
      <c r="H282" s="52"/>
      <c r="I282" s="66"/>
      <c r="J282" s="209"/>
      <c r="K282" s="70" t="s">
        <v>105</v>
      </c>
    </row>
    <row r="283" spans="1:11" s="43" customFormat="1" ht="12.75" customHeight="1">
      <c r="A283" s="115">
        <v>2.394</v>
      </c>
      <c r="B283" s="66" t="s">
        <v>1555</v>
      </c>
      <c r="C283" s="33" t="s">
        <v>1886</v>
      </c>
      <c r="D283" s="53" t="s">
        <v>158</v>
      </c>
      <c r="E283" s="165" t="s">
        <v>1553</v>
      </c>
      <c r="F283" s="52" t="s">
        <v>105</v>
      </c>
      <c r="G283" s="52" t="s">
        <v>105</v>
      </c>
      <c r="H283" s="52" t="s">
        <v>105</v>
      </c>
      <c r="I283" s="66"/>
      <c r="J283" s="209"/>
      <c r="K283" s="70"/>
    </row>
    <row r="284" spans="1:11" s="43" customFormat="1" ht="12.75" customHeight="1">
      <c r="A284" s="115">
        <v>2.394</v>
      </c>
      <c r="B284" s="66" t="s">
        <v>1556</v>
      </c>
      <c r="C284" s="33" t="s">
        <v>1886</v>
      </c>
      <c r="D284" s="53" t="s">
        <v>158</v>
      </c>
      <c r="E284" s="165" t="s">
        <v>1554</v>
      </c>
      <c r="F284" s="52" t="s">
        <v>105</v>
      </c>
      <c r="G284" s="52" t="s">
        <v>105</v>
      </c>
      <c r="H284" s="52" t="s">
        <v>105</v>
      </c>
      <c r="I284" s="66"/>
      <c r="J284" s="209"/>
      <c r="K284" s="70"/>
    </row>
    <row r="285" spans="1:11" s="43" customFormat="1" ht="12.75" customHeight="1">
      <c r="A285" s="115">
        <v>2.394</v>
      </c>
      <c r="B285" s="66" t="s">
        <v>1564</v>
      </c>
      <c r="C285" s="33" t="s">
        <v>1886</v>
      </c>
      <c r="D285" s="53" t="s">
        <v>158</v>
      </c>
      <c r="E285" s="165" t="s">
        <v>1559</v>
      </c>
      <c r="F285" s="52" t="s">
        <v>105</v>
      </c>
      <c r="G285" s="52" t="s">
        <v>105</v>
      </c>
      <c r="H285" s="52" t="s">
        <v>105</v>
      </c>
      <c r="I285" s="66"/>
      <c r="J285" s="209"/>
      <c r="K285" s="70"/>
    </row>
    <row r="286" spans="1:11" s="43" customFormat="1" ht="12.75" customHeight="1">
      <c r="A286" s="115">
        <v>2.394</v>
      </c>
      <c r="B286" s="66" t="s">
        <v>1565</v>
      </c>
      <c r="C286" s="33" t="s">
        <v>1886</v>
      </c>
      <c r="D286" s="53" t="s">
        <v>158</v>
      </c>
      <c r="E286" s="165" t="s">
        <v>1560</v>
      </c>
      <c r="F286" s="52" t="s">
        <v>105</v>
      </c>
      <c r="G286" s="52" t="s">
        <v>105</v>
      </c>
      <c r="H286" s="52" t="s">
        <v>105</v>
      </c>
      <c r="I286" s="66"/>
      <c r="J286" s="209"/>
      <c r="K286" s="70"/>
    </row>
    <row r="287" spans="1:11" s="43" customFormat="1" ht="12.75" customHeight="1">
      <c r="A287" s="115">
        <v>2.394</v>
      </c>
      <c r="B287" s="66" t="s">
        <v>1566</v>
      </c>
      <c r="C287" s="33" t="s">
        <v>1886</v>
      </c>
      <c r="D287" s="53" t="s">
        <v>158</v>
      </c>
      <c r="E287" s="165" t="s">
        <v>1561</v>
      </c>
      <c r="F287" s="52" t="s">
        <v>105</v>
      </c>
      <c r="G287" s="52" t="s">
        <v>105</v>
      </c>
      <c r="H287" s="52" t="s">
        <v>105</v>
      </c>
      <c r="I287" s="66"/>
      <c r="J287" s="209"/>
      <c r="K287" s="70"/>
    </row>
    <row r="288" spans="1:11" s="43" customFormat="1" ht="12.75" customHeight="1">
      <c r="A288" s="115">
        <v>2.394</v>
      </c>
      <c r="B288" s="66" t="s">
        <v>1567</v>
      </c>
      <c r="C288" s="33" t="s">
        <v>1886</v>
      </c>
      <c r="D288" s="53" t="s">
        <v>158</v>
      </c>
      <c r="E288" s="165" t="s">
        <v>1562</v>
      </c>
      <c r="F288" s="52" t="s">
        <v>105</v>
      </c>
      <c r="G288" s="52" t="s">
        <v>105</v>
      </c>
      <c r="H288" s="52" t="s">
        <v>105</v>
      </c>
      <c r="I288" s="66"/>
      <c r="J288" s="209"/>
      <c r="K288" s="70"/>
    </row>
    <row r="289" spans="1:11" s="43" customFormat="1" ht="12.75" customHeight="1">
      <c r="A289" s="115">
        <v>2.394</v>
      </c>
      <c r="B289" s="66" t="s">
        <v>1568</v>
      </c>
      <c r="C289" s="33" t="s">
        <v>1886</v>
      </c>
      <c r="D289" s="53" t="s">
        <v>158</v>
      </c>
      <c r="E289" s="222" t="s">
        <v>1563</v>
      </c>
      <c r="F289" s="52"/>
      <c r="G289" s="52"/>
      <c r="H289" s="52"/>
      <c r="I289" s="52"/>
      <c r="J289" s="207"/>
      <c r="K289" s="69" t="s">
        <v>105</v>
      </c>
    </row>
    <row r="290" spans="1:11" s="43" customFormat="1" ht="12.75" customHeight="1">
      <c r="A290" s="115">
        <v>2.394</v>
      </c>
      <c r="B290" s="66" t="s">
        <v>1631</v>
      </c>
      <c r="C290" s="33" t="s">
        <v>1886</v>
      </c>
      <c r="D290" s="52" t="s">
        <v>158</v>
      </c>
      <c r="E290" s="223" t="s">
        <v>1632</v>
      </c>
      <c r="F290" s="52" t="s">
        <v>105</v>
      </c>
      <c r="G290" s="52" t="s">
        <v>105</v>
      </c>
      <c r="H290" s="52" t="s">
        <v>105</v>
      </c>
      <c r="I290" s="52"/>
      <c r="J290" s="207"/>
      <c r="K290" s="69"/>
    </row>
    <row r="291" spans="1:11" s="43" customFormat="1" ht="12.75" customHeight="1" thickBot="1">
      <c r="A291" s="115">
        <v>2.394</v>
      </c>
      <c r="B291" s="66" t="s">
        <v>1680</v>
      </c>
      <c r="C291" s="33" t="s">
        <v>1886</v>
      </c>
      <c r="D291" s="52" t="s">
        <v>158</v>
      </c>
      <c r="E291" s="112" t="s">
        <v>1681</v>
      </c>
      <c r="F291" s="52" t="s">
        <v>105</v>
      </c>
      <c r="G291" s="52" t="s">
        <v>105</v>
      </c>
      <c r="H291" s="52" t="s">
        <v>105</v>
      </c>
      <c r="I291" s="52"/>
      <c r="J291" s="207"/>
      <c r="K291" s="69"/>
    </row>
    <row r="292" spans="1:11" s="67" customFormat="1" ht="21" customHeight="1" thickBot="1">
      <c r="A292" s="299" t="s">
        <v>153</v>
      </c>
      <c r="B292" s="300"/>
      <c r="C292" s="300"/>
      <c r="D292" s="300"/>
      <c r="E292" s="301"/>
      <c r="F292" s="296" t="s">
        <v>87</v>
      </c>
      <c r="G292" s="297"/>
      <c r="H292" s="297"/>
      <c r="I292" s="297"/>
      <c r="J292" s="298"/>
      <c r="K292" s="190">
        <f>SUBTOTAL(3,D293:D370)</f>
        <v>78</v>
      </c>
    </row>
    <row r="293" spans="1:11" s="43" customFormat="1" ht="12.75" customHeight="1">
      <c r="A293" s="96">
        <v>2.152</v>
      </c>
      <c r="B293" s="52" t="s">
        <v>224</v>
      </c>
      <c r="C293" s="112" t="s">
        <v>1089</v>
      </c>
      <c r="D293" s="52" t="s">
        <v>153</v>
      </c>
      <c r="E293" s="99" t="s">
        <v>1168</v>
      </c>
      <c r="F293" s="52" t="s">
        <v>105</v>
      </c>
      <c r="G293" s="52" t="s">
        <v>105</v>
      </c>
      <c r="H293" s="52" t="s">
        <v>105</v>
      </c>
      <c r="I293" s="52"/>
      <c r="J293" s="207"/>
      <c r="K293" s="69"/>
    </row>
    <row r="294" spans="1:11" s="43" customFormat="1" ht="12.75" customHeight="1">
      <c r="A294" s="96">
        <v>2.152</v>
      </c>
      <c r="B294" s="52" t="s">
        <v>230</v>
      </c>
      <c r="C294" s="112" t="s">
        <v>1089</v>
      </c>
      <c r="D294" s="52" t="s">
        <v>153</v>
      </c>
      <c r="E294" s="99" t="s">
        <v>901</v>
      </c>
      <c r="F294" s="52" t="s">
        <v>105</v>
      </c>
      <c r="G294" s="52" t="s">
        <v>105</v>
      </c>
      <c r="H294" s="52" t="s">
        <v>105</v>
      </c>
      <c r="I294" s="52"/>
      <c r="J294" s="207"/>
      <c r="K294" s="69"/>
    </row>
    <row r="295" spans="1:11" s="43" customFormat="1" ht="12.75" customHeight="1">
      <c r="A295" s="96">
        <v>2.152</v>
      </c>
      <c r="B295" s="52" t="s">
        <v>221</v>
      </c>
      <c r="C295" s="112" t="s">
        <v>1089</v>
      </c>
      <c r="D295" s="52" t="s">
        <v>153</v>
      </c>
      <c r="E295" s="99" t="s">
        <v>1169</v>
      </c>
      <c r="F295" s="52" t="s">
        <v>105</v>
      </c>
      <c r="G295" s="52" t="s">
        <v>105</v>
      </c>
      <c r="H295" s="52" t="s">
        <v>105</v>
      </c>
      <c r="I295" s="52"/>
      <c r="J295" s="207"/>
      <c r="K295" s="69"/>
    </row>
    <row r="296" spans="1:11" s="43" customFormat="1" ht="12.75" customHeight="1">
      <c r="A296" s="96">
        <v>2.152</v>
      </c>
      <c r="B296" s="52" t="s">
        <v>223</v>
      </c>
      <c r="C296" s="112" t="s">
        <v>1089</v>
      </c>
      <c r="D296" s="52" t="s">
        <v>153</v>
      </c>
      <c r="E296" s="99" t="s">
        <v>1170</v>
      </c>
      <c r="F296" s="52" t="s">
        <v>105</v>
      </c>
      <c r="G296" s="52" t="s">
        <v>105</v>
      </c>
      <c r="H296" s="52" t="s">
        <v>105</v>
      </c>
      <c r="I296" s="52"/>
      <c r="J296" s="207"/>
      <c r="K296" s="69"/>
    </row>
    <row r="297" spans="1:11" s="43" customFormat="1" ht="12.75" customHeight="1">
      <c r="A297" s="96">
        <v>2.152</v>
      </c>
      <c r="B297" s="52" t="s">
        <v>228</v>
      </c>
      <c r="C297" s="112" t="s">
        <v>1089</v>
      </c>
      <c r="D297" s="52" t="s">
        <v>153</v>
      </c>
      <c r="E297" s="99" t="s">
        <v>1171</v>
      </c>
      <c r="F297" s="52" t="s">
        <v>105</v>
      </c>
      <c r="G297" s="52" t="s">
        <v>105</v>
      </c>
      <c r="H297" s="52" t="s">
        <v>105</v>
      </c>
      <c r="I297" s="52"/>
      <c r="J297" s="207"/>
      <c r="K297" s="69"/>
    </row>
    <row r="298" spans="1:11" s="43" customFormat="1" ht="12.75" customHeight="1">
      <c r="A298" s="96">
        <v>2.152</v>
      </c>
      <c r="B298" s="52" t="s">
        <v>225</v>
      </c>
      <c r="C298" s="112" t="s">
        <v>1089</v>
      </c>
      <c r="D298" s="52" t="s">
        <v>153</v>
      </c>
      <c r="E298" s="99" t="s">
        <v>1172</v>
      </c>
      <c r="F298" s="52" t="s">
        <v>105</v>
      </c>
      <c r="G298" s="52" t="s">
        <v>105</v>
      </c>
      <c r="H298" s="52"/>
      <c r="I298" s="52"/>
      <c r="J298" s="207"/>
      <c r="K298" s="69"/>
    </row>
    <row r="299" spans="1:11" s="43" customFormat="1" ht="12.75" customHeight="1">
      <c r="A299" s="96">
        <v>2.152</v>
      </c>
      <c r="B299" s="52" t="s">
        <v>217</v>
      </c>
      <c r="C299" s="112" t="s">
        <v>1089</v>
      </c>
      <c r="D299" s="52" t="s">
        <v>153</v>
      </c>
      <c r="E299" s="99" t="s">
        <v>1173</v>
      </c>
      <c r="F299" s="52" t="s">
        <v>105</v>
      </c>
      <c r="G299" s="52" t="s">
        <v>105</v>
      </c>
      <c r="H299" s="52" t="s">
        <v>105</v>
      </c>
      <c r="I299" s="52"/>
      <c r="J299" s="207"/>
      <c r="K299" s="69"/>
    </row>
    <row r="300" spans="1:11" s="43" customFormat="1" ht="12.75" customHeight="1">
      <c r="A300" s="96">
        <v>2.152</v>
      </c>
      <c r="B300" s="52" t="s">
        <v>218</v>
      </c>
      <c r="C300" s="112" t="s">
        <v>1089</v>
      </c>
      <c r="D300" s="52" t="s">
        <v>153</v>
      </c>
      <c r="E300" s="99" t="s">
        <v>1174</v>
      </c>
      <c r="F300" s="52" t="s">
        <v>105</v>
      </c>
      <c r="G300" s="52" t="s">
        <v>105</v>
      </c>
      <c r="H300" s="52" t="s">
        <v>105</v>
      </c>
      <c r="I300" s="52"/>
      <c r="J300" s="207"/>
      <c r="K300" s="69"/>
    </row>
    <row r="301" spans="1:11" s="43" customFormat="1" ht="12.75" customHeight="1">
      <c r="A301" s="96">
        <v>2.152</v>
      </c>
      <c r="B301" s="52" t="s">
        <v>219</v>
      </c>
      <c r="C301" s="112" t="s">
        <v>1089</v>
      </c>
      <c r="D301" s="52" t="s">
        <v>153</v>
      </c>
      <c r="E301" s="99" t="s">
        <v>1175</v>
      </c>
      <c r="F301" s="52" t="s">
        <v>105</v>
      </c>
      <c r="G301" s="52" t="s">
        <v>105</v>
      </c>
      <c r="H301" s="52" t="s">
        <v>105</v>
      </c>
      <c r="I301" s="52"/>
      <c r="J301" s="207"/>
      <c r="K301" s="69"/>
    </row>
    <row r="302" spans="1:11" s="43" customFormat="1" ht="12.75" customHeight="1">
      <c r="A302" s="104">
        <v>2.152</v>
      </c>
      <c r="B302" s="52" t="s">
        <v>220</v>
      </c>
      <c r="C302" s="112" t="s">
        <v>1089</v>
      </c>
      <c r="D302" s="52" t="s">
        <v>153</v>
      </c>
      <c r="E302" s="99" t="s">
        <v>1176</v>
      </c>
      <c r="F302" s="52" t="s">
        <v>105</v>
      </c>
      <c r="G302" s="52" t="s">
        <v>105</v>
      </c>
      <c r="H302" s="52" t="s">
        <v>105</v>
      </c>
      <c r="I302" s="52"/>
      <c r="J302" s="207"/>
      <c r="K302" s="69"/>
    </row>
    <row r="303" spans="1:11" s="43" customFormat="1" ht="12.75" customHeight="1">
      <c r="A303" s="104">
        <v>2.152</v>
      </c>
      <c r="B303" s="52" t="s">
        <v>222</v>
      </c>
      <c r="C303" s="112" t="s">
        <v>1089</v>
      </c>
      <c r="D303" s="52" t="s">
        <v>153</v>
      </c>
      <c r="E303" s="99" t="s">
        <v>1177</v>
      </c>
      <c r="F303" s="52" t="s">
        <v>105</v>
      </c>
      <c r="G303" s="52"/>
      <c r="H303" s="52"/>
      <c r="I303" s="52"/>
      <c r="J303" s="207"/>
      <c r="K303" s="69"/>
    </row>
    <row r="304" spans="1:11" s="43" customFormat="1" ht="12.75" customHeight="1">
      <c r="A304" s="104">
        <v>2.152</v>
      </c>
      <c r="B304" s="52" t="s">
        <v>227</v>
      </c>
      <c r="C304" s="112" t="s">
        <v>1089</v>
      </c>
      <c r="D304" s="52" t="s">
        <v>153</v>
      </c>
      <c r="E304" s="99" t="s">
        <v>1178</v>
      </c>
      <c r="F304" s="52" t="s">
        <v>105</v>
      </c>
      <c r="G304" s="52" t="s">
        <v>105</v>
      </c>
      <c r="H304" s="52" t="s">
        <v>105</v>
      </c>
      <c r="I304" s="52"/>
      <c r="J304" s="207"/>
      <c r="K304" s="69"/>
    </row>
    <row r="305" spans="1:11" s="43" customFormat="1" ht="12.75" customHeight="1">
      <c r="A305" s="177">
        <v>2.389</v>
      </c>
      <c r="B305" s="66" t="s">
        <v>1357</v>
      </c>
      <c r="C305" s="112" t="s">
        <v>1354</v>
      </c>
      <c r="D305" s="52" t="s">
        <v>153</v>
      </c>
      <c r="E305" s="116" t="s">
        <v>1355</v>
      </c>
      <c r="F305" s="52"/>
      <c r="G305" s="52"/>
      <c r="H305" s="52"/>
      <c r="I305" s="66"/>
      <c r="J305" s="209"/>
      <c r="K305" s="69" t="s">
        <v>105</v>
      </c>
    </row>
    <row r="306" spans="1:11" s="43" customFormat="1" ht="12.75" customHeight="1">
      <c r="A306" s="177">
        <v>2.389</v>
      </c>
      <c r="B306" s="66" t="s">
        <v>1358</v>
      </c>
      <c r="C306" s="112" t="s">
        <v>1354</v>
      </c>
      <c r="D306" s="52" t="s">
        <v>153</v>
      </c>
      <c r="E306" s="116" t="s">
        <v>1356</v>
      </c>
      <c r="F306" s="52"/>
      <c r="G306" s="52"/>
      <c r="H306" s="52"/>
      <c r="I306" s="66"/>
      <c r="J306" s="209"/>
      <c r="K306" s="69" t="s">
        <v>105</v>
      </c>
    </row>
    <row r="307" spans="1:11" s="43" customFormat="1" ht="12.75" customHeight="1">
      <c r="A307" s="177">
        <v>2.389</v>
      </c>
      <c r="B307" s="66" t="s">
        <v>1476</v>
      </c>
      <c r="C307" s="112" t="s">
        <v>1354</v>
      </c>
      <c r="D307" s="52" t="s">
        <v>153</v>
      </c>
      <c r="E307" s="116" t="s">
        <v>1477</v>
      </c>
      <c r="F307" s="52"/>
      <c r="G307" s="52"/>
      <c r="H307" s="52"/>
      <c r="I307" s="66"/>
      <c r="J307" s="209"/>
      <c r="K307" s="69" t="s">
        <v>105</v>
      </c>
    </row>
    <row r="308" spans="1:11" s="43" customFormat="1" ht="12.75" customHeight="1">
      <c r="A308" s="177">
        <v>2.389</v>
      </c>
      <c r="B308" s="164" t="s">
        <v>1751</v>
      </c>
      <c r="C308" s="112" t="s">
        <v>1354</v>
      </c>
      <c r="D308" s="52" t="s">
        <v>153</v>
      </c>
      <c r="E308" s="116" t="s">
        <v>1752</v>
      </c>
      <c r="F308" s="52"/>
      <c r="G308" s="52"/>
      <c r="H308" s="52"/>
      <c r="I308" s="66"/>
      <c r="J308" s="209"/>
      <c r="K308" s="69" t="s">
        <v>105</v>
      </c>
    </row>
    <row r="309" spans="1:11" s="5" customFormat="1" ht="12.75" customHeight="1">
      <c r="A309" s="104">
        <v>2.211</v>
      </c>
      <c r="B309" s="66" t="s">
        <v>1140</v>
      </c>
      <c r="C309" s="112" t="s">
        <v>313</v>
      </c>
      <c r="D309" s="52" t="s">
        <v>153</v>
      </c>
      <c r="E309" s="116" t="s">
        <v>1139</v>
      </c>
      <c r="F309" s="52" t="s">
        <v>105</v>
      </c>
      <c r="G309" s="52" t="s">
        <v>105</v>
      </c>
      <c r="H309" s="52" t="s">
        <v>105</v>
      </c>
      <c r="I309" s="66"/>
      <c r="J309" s="209"/>
      <c r="K309" s="69"/>
    </row>
    <row r="310" spans="1:11" s="43" customFormat="1" ht="12.75" customHeight="1">
      <c r="A310" s="195">
        <v>2.211</v>
      </c>
      <c r="B310" s="52" t="s">
        <v>226</v>
      </c>
      <c r="C310" s="112" t="s">
        <v>313</v>
      </c>
      <c r="D310" s="52" t="s">
        <v>153</v>
      </c>
      <c r="E310" s="99" t="s">
        <v>448</v>
      </c>
      <c r="F310" s="52" t="s">
        <v>105</v>
      </c>
      <c r="G310" s="52" t="s">
        <v>105</v>
      </c>
      <c r="H310" s="52" t="s">
        <v>105</v>
      </c>
      <c r="I310" s="52"/>
      <c r="J310" s="207"/>
      <c r="K310" s="69"/>
    </row>
    <row r="311" spans="1:11" s="43" customFormat="1" ht="12.75" customHeight="1">
      <c r="A311" s="195">
        <v>2.211</v>
      </c>
      <c r="B311" s="52" t="s">
        <v>229</v>
      </c>
      <c r="C311" s="112" t="s">
        <v>313</v>
      </c>
      <c r="D311" s="52" t="s">
        <v>153</v>
      </c>
      <c r="E311" s="99" t="s">
        <v>449</v>
      </c>
      <c r="F311" s="52" t="s">
        <v>105</v>
      </c>
      <c r="G311" s="52" t="s">
        <v>105</v>
      </c>
      <c r="H311" s="52" t="s">
        <v>105</v>
      </c>
      <c r="I311" s="52"/>
      <c r="J311" s="207"/>
      <c r="K311" s="69"/>
    </row>
    <row r="312" spans="1:11" s="43" customFormat="1" ht="12.75" customHeight="1">
      <c r="A312" s="195">
        <v>2.211</v>
      </c>
      <c r="B312" s="52" t="s">
        <v>231</v>
      </c>
      <c r="C312" s="112" t="s">
        <v>313</v>
      </c>
      <c r="D312" s="52" t="s">
        <v>153</v>
      </c>
      <c r="E312" s="99" t="s">
        <v>215</v>
      </c>
      <c r="F312" s="52" t="s">
        <v>105</v>
      </c>
      <c r="G312" s="52" t="s">
        <v>105</v>
      </c>
      <c r="H312" s="52" t="s">
        <v>105</v>
      </c>
      <c r="I312" s="52"/>
      <c r="J312" s="207"/>
      <c r="K312" s="69"/>
    </row>
    <row r="313" spans="1:11" s="43" customFormat="1" ht="12.75" customHeight="1">
      <c r="A313" s="195">
        <v>2.211</v>
      </c>
      <c r="B313" s="52" t="s">
        <v>1091</v>
      </c>
      <c r="C313" s="112" t="s">
        <v>313</v>
      </c>
      <c r="D313" s="52" t="s">
        <v>153</v>
      </c>
      <c r="E313" s="99" t="s">
        <v>1090</v>
      </c>
      <c r="F313" s="52" t="s">
        <v>105</v>
      </c>
      <c r="G313" s="52" t="s">
        <v>105</v>
      </c>
      <c r="H313" s="52" t="s">
        <v>105</v>
      </c>
      <c r="I313" s="52"/>
      <c r="J313" s="207"/>
      <c r="K313" s="69"/>
    </row>
    <row r="314" spans="1:11" s="43" customFormat="1" ht="12.75" customHeight="1">
      <c r="A314" s="195">
        <v>2.211</v>
      </c>
      <c r="B314" s="52" t="s">
        <v>232</v>
      </c>
      <c r="C314" s="112" t="s">
        <v>313</v>
      </c>
      <c r="D314" s="52" t="s">
        <v>153</v>
      </c>
      <c r="E314" s="99" t="s">
        <v>450</v>
      </c>
      <c r="F314" s="52"/>
      <c r="G314" s="52" t="s">
        <v>105</v>
      </c>
      <c r="H314" s="52" t="s">
        <v>105</v>
      </c>
      <c r="I314" s="52"/>
      <c r="J314" s="207"/>
      <c r="K314" s="69"/>
    </row>
    <row r="315" spans="1:11" s="5" customFormat="1" ht="12.75" customHeight="1">
      <c r="A315" s="96">
        <v>2.211</v>
      </c>
      <c r="B315" s="66" t="s">
        <v>1035</v>
      </c>
      <c r="C315" s="112" t="s">
        <v>313</v>
      </c>
      <c r="D315" s="52" t="s">
        <v>153</v>
      </c>
      <c r="E315" s="116" t="s">
        <v>1036</v>
      </c>
      <c r="F315" s="52"/>
      <c r="G315" s="52"/>
      <c r="H315" s="52"/>
      <c r="I315" s="66"/>
      <c r="J315" s="209"/>
      <c r="K315" s="69" t="s">
        <v>105</v>
      </c>
    </row>
    <row r="316" spans="1:11" s="5" customFormat="1" ht="12.75" customHeight="1">
      <c r="A316" s="96">
        <v>2.211</v>
      </c>
      <c r="B316" s="52" t="s">
        <v>1014</v>
      </c>
      <c r="C316" s="112" t="s">
        <v>313</v>
      </c>
      <c r="D316" s="52" t="s">
        <v>153</v>
      </c>
      <c r="E316" s="116" t="s">
        <v>1015</v>
      </c>
      <c r="F316" s="52"/>
      <c r="G316" s="52"/>
      <c r="H316" s="52"/>
      <c r="I316" s="66"/>
      <c r="J316" s="209"/>
      <c r="K316" s="69" t="s">
        <v>105</v>
      </c>
    </row>
    <row r="317" spans="1:11" s="43" customFormat="1" ht="12.75" customHeight="1">
      <c r="A317" s="96">
        <v>2.211</v>
      </c>
      <c r="B317" s="52" t="s">
        <v>237</v>
      </c>
      <c r="C317" s="112" t="s">
        <v>313</v>
      </c>
      <c r="D317" s="52" t="s">
        <v>153</v>
      </c>
      <c r="E317" s="99" t="s">
        <v>882</v>
      </c>
      <c r="F317" s="52" t="s">
        <v>105</v>
      </c>
      <c r="G317" s="52" t="s">
        <v>105</v>
      </c>
      <c r="H317" s="52" t="s">
        <v>105</v>
      </c>
      <c r="I317" s="52"/>
      <c r="J317" s="207"/>
      <c r="K317" s="69"/>
    </row>
    <row r="318" spans="1:11" s="43" customFormat="1" ht="12.75" customHeight="1">
      <c r="A318" s="96">
        <v>2.211</v>
      </c>
      <c r="B318" s="52" t="s">
        <v>241</v>
      </c>
      <c r="C318" s="112" t="s">
        <v>313</v>
      </c>
      <c r="D318" s="52" t="s">
        <v>153</v>
      </c>
      <c r="E318" s="99" t="s">
        <v>883</v>
      </c>
      <c r="F318" s="52" t="s">
        <v>105</v>
      </c>
      <c r="G318" s="52" t="s">
        <v>105</v>
      </c>
      <c r="H318" s="52" t="s">
        <v>105</v>
      </c>
      <c r="I318" s="52"/>
      <c r="J318" s="207"/>
      <c r="K318" s="69"/>
    </row>
    <row r="319" spans="1:11" s="43" customFormat="1" ht="12.75" customHeight="1">
      <c r="A319" s="96">
        <v>2.211</v>
      </c>
      <c r="B319" s="52" t="s">
        <v>248</v>
      </c>
      <c r="C319" s="112" t="s">
        <v>313</v>
      </c>
      <c r="D319" s="52" t="s">
        <v>153</v>
      </c>
      <c r="E319" s="99" t="s">
        <v>884</v>
      </c>
      <c r="F319" s="52" t="s">
        <v>105</v>
      </c>
      <c r="G319" s="52" t="s">
        <v>105</v>
      </c>
      <c r="H319" s="52" t="s">
        <v>105</v>
      </c>
      <c r="I319" s="52"/>
      <c r="J319" s="207"/>
      <c r="K319" s="69"/>
    </row>
    <row r="320" spans="1:11" s="43" customFormat="1" ht="12.75" customHeight="1">
      <c r="A320" s="96">
        <v>2.211</v>
      </c>
      <c r="B320" s="52" t="s">
        <v>235</v>
      </c>
      <c r="C320" s="112" t="s">
        <v>313</v>
      </c>
      <c r="D320" s="52" t="s">
        <v>153</v>
      </c>
      <c r="E320" s="99" t="s">
        <v>885</v>
      </c>
      <c r="F320" s="52" t="s">
        <v>105</v>
      </c>
      <c r="G320" s="52" t="s">
        <v>105</v>
      </c>
      <c r="H320" s="52" t="s">
        <v>105</v>
      </c>
      <c r="I320" s="52"/>
      <c r="J320" s="207"/>
      <c r="K320" s="69" t="s">
        <v>105</v>
      </c>
    </row>
    <row r="321" spans="1:11" s="43" customFormat="1" ht="12.75" customHeight="1">
      <c r="A321" s="96">
        <v>2.211</v>
      </c>
      <c r="B321" s="52" t="s">
        <v>236</v>
      </c>
      <c r="C321" s="112" t="s">
        <v>313</v>
      </c>
      <c r="D321" s="52" t="s">
        <v>153</v>
      </c>
      <c r="E321" s="99" t="s">
        <v>886</v>
      </c>
      <c r="F321" s="52"/>
      <c r="G321" s="52" t="s">
        <v>105</v>
      </c>
      <c r="H321" s="52" t="s">
        <v>105</v>
      </c>
      <c r="I321" s="52"/>
      <c r="J321" s="207"/>
      <c r="K321" s="69"/>
    </row>
    <row r="322" spans="1:11" s="6" customFormat="1" ht="12.75" customHeight="1">
      <c r="A322" s="96">
        <v>2.211</v>
      </c>
      <c r="B322" s="52" t="s">
        <v>243</v>
      </c>
      <c r="C322" s="112" t="s">
        <v>313</v>
      </c>
      <c r="D322" s="52" t="s">
        <v>153</v>
      </c>
      <c r="E322" s="99" t="s">
        <v>887</v>
      </c>
      <c r="F322" s="52"/>
      <c r="G322" s="52" t="s">
        <v>105</v>
      </c>
      <c r="H322" s="52" t="s">
        <v>105</v>
      </c>
      <c r="I322" s="52"/>
      <c r="J322" s="207"/>
      <c r="K322" s="69"/>
    </row>
    <row r="323" spans="1:11" s="6" customFormat="1" ht="12.75" customHeight="1">
      <c r="A323" s="96">
        <v>2.211</v>
      </c>
      <c r="B323" s="52" t="s">
        <v>246</v>
      </c>
      <c r="C323" s="112" t="s">
        <v>313</v>
      </c>
      <c r="D323" s="52" t="s">
        <v>153</v>
      </c>
      <c r="E323" s="99" t="s">
        <v>888</v>
      </c>
      <c r="F323" s="52"/>
      <c r="G323" s="52" t="s">
        <v>105</v>
      </c>
      <c r="H323" s="52" t="s">
        <v>105</v>
      </c>
      <c r="I323" s="52"/>
      <c r="J323" s="207"/>
      <c r="K323" s="69"/>
    </row>
    <row r="324" spans="1:11" s="6" customFormat="1" ht="12.75" customHeight="1">
      <c r="A324" s="96">
        <v>2.211</v>
      </c>
      <c r="B324" s="52" t="s">
        <v>247</v>
      </c>
      <c r="C324" s="112" t="s">
        <v>313</v>
      </c>
      <c r="D324" s="52" t="s">
        <v>153</v>
      </c>
      <c r="E324" s="99" t="s">
        <v>889</v>
      </c>
      <c r="F324" s="52" t="s">
        <v>105</v>
      </c>
      <c r="G324" s="52" t="s">
        <v>105</v>
      </c>
      <c r="H324" s="52" t="s">
        <v>105</v>
      </c>
      <c r="I324" s="52"/>
      <c r="J324" s="207"/>
      <c r="K324" s="69"/>
    </row>
    <row r="325" spans="1:11" s="6" customFormat="1" ht="12.75" customHeight="1">
      <c r="A325" s="96">
        <v>2.211</v>
      </c>
      <c r="B325" s="52" t="s">
        <v>249</v>
      </c>
      <c r="C325" s="112" t="s">
        <v>313</v>
      </c>
      <c r="D325" s="52" t="s">
        <v>153</v>
      </c>
      <c r="E325" s="99" t="s">
        <v>890</v>
      </c>
      <c r="F325" s="52" t="s">
        <v>105</v>
      </c>
      <c r="G325" s="52" t="s">
        <v>105</v>
      </c>
      <c r="H325" s="52" t="s">
        <v>105</v>
      </c>
      <c r="I325" s="52"/>
      <c r="J325" s="207"/>
      <c r="K325" s="69"/>
    </row>
    <row r="326" spans="1:11" s="6" customFormat="1" ht="12.75" customHeight="1">
      <c r="A326" s="96">
        <v>2.211</v>
      </c>
      <c r="B326" s="52" t="s">
        <v>250</v>
      </c>
      <c r="C326" s="112" t="s">
        <v>313</v>
      </c>
      <c r="D326" s="52" t="s">
        <v>153</v>
      </c>
      <c r="E326" s="99" t="s">
        <v>891</v>
      </c>
      <c r="F326" s="52"/>
      <c r="G326" s="52" t="s">
        <v>105</v>
      </c>
      <c r="H326" s="52" t="s">
        <v>105</v>
      </c>
      <c r="I326" s="52"/>
      <c r="J326" s="207"/>
      <c r="K326" s="69"/>
    </row>
    <row r="327" spans="1:11" s="6" customFormat="1" ht="12.75" customHeight="1">
      <c r="A327" s="96">
        <v>2.211</v>
      </c>
      <c r="B327" s="52" t="s">
        <v>251</v>
      </c>
      <c r="C327" s="112" t="s">
        <v>313</v>
      </c>
      <c r="D327" s="52" t="s">
        <v>153</v>
      </c>
      <c r="E327" s="99" t="s">
        <v>892</v>
      </c>
      <c r="F327" s="52" t="s">
        <v>105</v>
      </c>
      <c r="G327" s="52" t="s">
        <v>105</v>
      </c>
      <c r="H327" s="52" t="s">
        <v>105</v>
      </c>
      <c r="I327" s="52"/>
      <c r="J327" s="207"/>
      <c r="K327" s="69"/>
    </row>
    <row r="328" spans="1:11" s="6" customFormat="1" ht="12.75" customHeight="1">
      <c r="A328" s="96">
        <v>2.211</v>
      </c>
      <c r="B328" s="52" t="s">
        <v>242</v>
      </c>
      <c r="C328" s="112" t="s">
        <v>313</v>
      </c>
      <c r="D328" s="52" t="s">
        <v>153</v>
      </c>
      <c r="E328" s="99" t="s">
        <v>893</v>
      </c>
      <c r="F328" s="52" t="s">
        <v>105</v>
      </c>
      <c r="G328" s="52" t="s">
        <v>105</v>
      </c>
      <c r="H328" s="52" t="s">
        <v>105</v>
      </c>
      <c r="I328" s="52"/>
      <c r="J328" s="207"/>
      <c r="K328" s="69"/>
    </row>
    <row r="329" spans="1:11" s="6" customFormat="1" ht="12.75" customHeight="1">
      <c r="A329" s="96">
        <v>2.211</v>
      </c>
      <c r="B329" s="52" t="s">
        <v>244</v>
      </c>
      <c r="C329" s="112" t="s">
        <v>313</v>
      </c>
      <c r="D329" s="52" t="s">
        <v>153</v>
      </c>
      <c r="E329" s="99" t="s">
        <v>894</v>
      </c>
      <c r="F329" s="52" t="s">
        <v>105</v>
      </c>
      <c r="G329" s="52" t="s">
        <v>105</v>
      </c>
      <c r="H329" s="52" t="s">
        <v>105</v>
      </c>
      <c r="I329" s="52"/>
      <c r="J329" s="207"/>
      <c r="K329" s="69"/>
    </row>
    <row r="330" spans="1:11" s="43" customFormat="1" ht="12.75" customHeight="1">
      <c r="A330" s="96">
        <v>2.211</v>
      </c>
      <c r="B330" s="52" t="s">
        <v>245</v>
      </c>
      <c r="C330" s="112" t="s">
        <v>313</v>
      </c>
      <c r="D330" s="52" t="s">
        <v>153</v>
      </c>
      <c r="E330" s="99" t="s">
        <v>895</v>
      </c>
      <c r="F330" s="52" t="s">
        <v>105</v>
      </c>
      <c r="G330" s="52" t="s">
        <v>105</v>
      </c>
      <c r="H330" s="52" t="s">
        <v>105</v>
      </c>
      <c r="I330" s="52"/>
      <c r="J330" s="207"/>
      <c r="K330" s="69"/>
    </row>
    <row r="331" spans="1:11" s="6" customFormat="1" ht="12.75" customHeight="1">
      <c r="A331" s="96">
        <v>2.211</v>
      </c>
      <c r="B331" s="52" t="s">
        <v>233</v>
      </c>
      <c r="C331" s="112" t="s">
        <v>313</v>
      </c>
      <c r="D331" s="52" t="s">
        <v>153</v>
      </c>
      <c r="E331" s="99" t="s">
        <v>896</v>
      </c>
      <c r="F331" s="52"/>
      <c r="G331" s="52"/>
      <c r="H331" s="52"/>
      <c r="I331" s="52"/>
      <c r="J331" s="207"/>
      <c r="K331" s="69" t="s">
        <v>105</v>
      </c>
    </row>
    <row r="332" spans="1:11" s="65" customFormat="1" ht="12" customHeight="1">
      <c r="A332" s="96">
        <v>2.211</v>
      </c>
      <c r="B332" s="52" t="s">
        <v>234</v>
      </c>
      <c r="C332" s="112" t="s">
        <v>313</v>
      </c>
      <c r="D332" s="52" t="s">
        <v>153</v>
      </c>
      <c r="E332" s="99" t="s">
        <v>897</v>
      </c>
      <c r="F332" s="52"/>
      <c r="G332" s="52"/>
      <c r="H332" s="52"/>
      <c r="I332" s="52"/>
      <c r="J332" s="207"/>
      <c r="K332" s="69" t="s">
        <v>105</v>
      </c>
    </row>
    <row r="333" spans="1:11" s="5" customFormat="1" ht="12.75" customHeight="1">
      <c r="A333" s="96">
        <v>2.211</v>
      </c>
      <c r="B333" s="52" t="s">
        <v>238</v>
      </c>
      <c r="C333" s="112" t="s">
        <v>313</v>
      </c>
      <c r="D333" s="52" t="s">
        <v>153</v>
      </c>
      <c r="E333" s="99" t="s">
        <v>898</v>
      </c>
      <c r="F333" s="52"/>
      <c r="G333" s="52"/>
      <c r="H333" s="52"/>
      <c r="I333" s="52"/>
      <c r="J333" s="207"/>
      <c r="K333" s="69" t="s">
        <v>105</v>
      </c>
    </row>
    <row r="334" spans="1:11" s="5" customFormat="1" ht="12.75" customHeight="1">
      <c r="A334" s="96">
        <v>2.211</v>
      </c>
      <c r="B334" s="52" t="s">
        <v>239</v>
      </c>
      <c r="C334" s="112" t="s">
        <v>313</v>
      </c>
      <c r="D334" s="52" t="s">
        <v>153</v>
      </c>
      <c r="E334" s="99" t="s">
        <v>899</v>
      </c>
      <c r="F334" s="52"/>
      <c r="G334" s="52"/>
      <c r="H334" s="52"/>
      <c r="I334" s="52"/>
      <c r="J334" s="207"/>
      <c r="K334" s="69" t="s">
        <v>105</v>
      </c>
    </row>
    <row r="335" spans="1:11" s="5" customFormat="1" ht="12.75" customHeight="1">
      <c r="A335" s="96">
        <v>2.211</v>
      </c>
      <c r="B335" s="52" t="s">
        <v>240</v>
      </c>
      <c r="C335" s="112" t="s">
        <v>313</v>
      </c>
      <c r="D335" s="52" t="s">
        <v>153</v>
      </c>
      <c r="E335" s="99" t="s">
        <v>900</v>
      </c>
      <c r="F335" s="52"/>
      <c r="G335" s="52"/>
      <c r="H335" s="52"/>
      <c r="I335" s="52"/>
      <c r="J335" s="207"/>
      <c r="K335" s="69" t="s">
        <v>105</v>
      </c>
    </row>
    <row r="336" spans="1:11" s="5" customFormat="1" ht="12.75" customHeight="1">
      <c r="A336" s="175">
        <v>2.302</v>
      </c>
      <c r="B336" s="66" t="s">
        <v>1648</v>
      </c>
      <c r="C336" s="112" t="s">
        <v>309</v>
      </c>
      <c r="D336" s="52" t="s">
        <v>153</v>
      </c>
      <c r="E336" s="116" t="s">
        <v>1647</v>
      </c>
      <c r="F336" s="52" t="s">
        <v>105</v>
      </c>
      <c r="G336" s="52" t="s">
        <v>105</v>
      </c>
      <c r="H336" s="52" t="s">
        <v>105</v>
      </c>
      <c r="I336" s="66"/>
      <c r="J336" s="209"/>
      <c r="K336" s="69"/>
    </row>
    <row r="337" spans="1:11" s="5" customFormat="1" ht="12.75" customHeight="1">
      <c r="A337" s="96">
        <v>2.302</v>
      </c>
      <c r="B337" s="66" t="s">
        <v>1267</v>
      </c>
      <c r="C337" s="112" t="s">
        <v>309</v>
      </c>
      <c r="D337" s="52" t="s">
        <v>153</v>
      </c>
      <c r="E337" s="116" t="s">
        <v>1268</v>
      </c>
      <c r="F337" s="52" t="s">
        <v>105</v>
      </c>
      <c r="G337" s="52" t="s">
        <v>105</v>
      </c>
      <c r="H337" s="52" t="s">
        <v>105</v>
      </c>
      <c r="I337" s="66"/>
      <c r="J337" s="209"/>
      <c r="K337" s="69" t="s">
        <v>105</v>
      </c>
    </row>
    <row r="338" spans="1:11" s="5" customFormat="1" ht="12.75" customHeight="1">
      <c r="A338" s="96">
        <v>2.302</v>
      </c>
      <c r="B338" s="66" t="s">
        <v>1151</v>
      </c>
      <c r="C338" s="112" t="s">
        <v>309</v>
      </c>
      <c r="D338" s="52" t="s">
        <v>153</v>
      </c>
      <c r="E338" s="116" t="s">
        <v>1152</v>
      </c>
      <c r="F338" s="52" t="s">
        <v>105</v>
      </c>
      <c r="G338" s="52" t="s">
        <v>105</v>
      </c>
      <c r="H338" s="52" t="s">
        <v>105</v>
      </c>
      <c r="I338" s="66"/>
      <c r="J338" s="209"/>
      <c r="K338" s="69" t="s">
        <v>105</v>
      </c>
    </row>
    <row r="339" spans="1:11" s="5" customFormat="1" ht="12.75" customHeight="1">
      <c r="A339" s="96">
        <v>2.302</v>
      </c>
      <c r="B339" s="66" t="s">
        <v>1141</v>
      </c>
      <c r="C339" s="112" t="s">
        <v>309</v>
      </c>
      <c r="D339" s="52" t="s">
        <v>153</v>
      </c>
      <c r="E339" s="116" t="s">
        <v>1142</v>
      </c>
      <c r="F339" s="52" t="s">
        <v>105</v>
      </c>
      <c r="G339" s="52" t="s">
        <v>105</v>
      </c>
      <c r="H339" s="52" t="s">
        <v>105</v>
      </c>
      <c r="I339" s="66"/>
      <c r="J339" s="209"/>
      <c r="K339" s="69"/>
    </row>
    <row r="340" spans="1:11" s="5" customFormat="1" ht="12.75" customHeight="1">
      <c r="A340" s="96">
        <v>2.302</v>
      </c>
      <c r="B340" s="66" t="s">
        <v>1041</v>
      </c>
      <c r="C340" s="112" t="s">
        <v>309</v>
      </c>
      <c r="D340" s="52" t="s">
        <v>153</v>
      </c>
      <c r="E340" s="116" t="s">
        <v>1042</v>
      </c>
      <c r="F340" s="52" t="s">
        <v>105</v>
      </c>
      <c r="G340" s="52" t="s">
        <v>105</v>
      </c>
      <c r="H340" s="52" t="s">
        <v>105</v>
      </c>
      <c r="I340" s="66"/>
      <c r="J340" s="209"/>
      <c r="K340" s="69"/>
    </row>
    <row r="341" spans="1:11" s="5" customFormat="1" ht="12.75" customHeight="1">
      <c r="A341" s="96">
        <v>2.302</v>
      </c>
      <c r="B341" s="66" t="s">
        <v>976</v>
      </c>
      <c r="C341" s="112" t="s">
        <v>309</v>
      </c>
      <c r="D341" s="52" t="s">
        <v>153</v>
      </c>
      <c r="E341" s="116" t="s">
        <v>977</v>
      </c>
      <c r="F341" s="52" t="s">
        <v>105</v>
      </c>
      <c r="G341" s="52" t="s">
        <v>105</v>
      </c>
      <c r="H341" s="52" t="s">
        <v>105</v>
      </c>
      <c r="I341" s="66"/>
      <c r="J341" s="209"/>
      <c r="K341" s="69" t="s">
        <v>105</v>
      </c>
    </row>
    <row r="342" spans="1:11" s="5" customFormat="1" ht="12.75" customHeight="1">
      <c r="A342" s="96">
        <v>2.302</v>
      </c>
      <c r="B342" s="66" t="s">
        <v>973</v>
      </c>
      <c r="C342" s="112" t="s">
        <v>309</v>
      </c>
      <c r="D342" s="52" t="s">
        <v>153</v>
      </c>
      <c r="E342" s="116" t="s">
        <v>972</v>
      </c>
      <c r="F342" s="52" t="s">
        <v>105</v>
      </c>
      <c r="G342" s="52" t="s">
        <v>105</v>
      </c>
      <c r="H342" s="52" t="s">
        <v>105</v>
      </c>
      <c r="I342" s="66"/>
      <c r="J342" s="209"/>
      <c r="K342" s="69"/>
    </row>
    <row r="343" spans="1:11" s="5" customFormat="1" ht="12.75" customHeight="1">
      <c r="A343" s="96">
        <v>2.302</v>
      </c>
      <c r="B343" s="66" t="s">
        <v>942</v>
      </c>
      <c r="C343" s="112" t="s">
        <v>309</v>
      </c>
      <c r="D343" s="52" t="s">
        <v>153</v>
      </c>
      <c r="E343" s="116" t="s">
        <v>941</v>
      </c>
      <c r="F343" s="52" t="s">
        <v>105</v>
      </c>
      <c r="G343" s="52" t="s">
        <v>105</v>
      </c>
      <c r="H343" s="52" t="s">
        <v>105</v>
      </c>
      <c r="I343" s="66"/>
      <c r="J343" s="209"/>
      <c r="K343" s="69"/>
    </row>
    <row r="344" spans="1:11" s="5" customFormat="1" ht="12.75" customHeight="1">
      <c r="A344" s="96">
        <v>2.302</v>
      </c>
      <c r="B344" s="66" t="s">
        <v>943</v>
      </c>
      <c r="C344" s="112" t="s">
        <v>309</v>
      </c>
      <c r="D344" s="52" t="s">
        <v>153</v>
      </c>
      <c r="E344" s="116" t="s">
        <v>944</v>
      </c>
      <c r="F344" s="52" t="s">
        <v>105</v>
      </c>
      <c r="G344" s="52" t="s">
        <v>105</v>
      </c>
      <c r="H344" s="52" t="s">
        <v>105</v>
      </c>
      <c r="I344" s="66"/>
      <c r="J344" s="209"/>
      <c r="K344" s="69"/>
    </row>
    <row r="345" spans="1:11" s="5" customFormat="1" ht="12.75" customHeight="1">
      <c r="A345" s="96">
        <v>2.302</v>
      </c>
      <c r="B345" s="66" t="s">
        <v>926</v>
      </c>
      <c r="C345" s="112" t="s">
        <v>309</v>
      </c>
      <c r="D345" s="52" t="s">
        <v>153</v>
      </c>
      <c r="E345" s="116" t="s">
        <v>924</v>
      </c>
      <c r="F345" s="52" t="s">
        <v>105</v>
      </c>
      <c r="G345" s="52" t="s">
        <v>105</v>
      </c>
      <c r="H345" s="52" t="s">
        <v>105</v>
      </c>
      <c r="I345" s="66"/>
      <c r="J345" s="209"/>
      <c r="K345" s="69"/>
    </row>
    <row r="346" spans="1:11" s="5" customFormat="1" ht="12.75" customHeight="1">
      <c r="A346" s="96">
        <v>2.302</v>
      </c>
      <c r="B346" s="66" t="s">
        <v>927</v>
      </c>
      <c r="C346" s="112" t="s">
        <v>309</v>
      </c>
      <c r="D346" s="52" t="s">
        <v>153</v>
      </c>
      <c r="E346" s="116" t="s">
        <v>925</v>
      </c>
      <c r="F346" s="52" t="s">
        <v>105</v>
      </c>
      <c r="G346" s="52" t="s">
        <v>105</v>
      </c>
      <c r="H346" s="52" t="s">
        <v>105</v>
      </c>
      <c r="I346" s="66"/>
      <c r="J346" s="209"/>
      <c r="K346" s="69"/>
    </row>
    <row r="347" spans="1:11" s="5" customFormat="1" ht="12.75" customHeight="1">
      <c r="A347" s="96">
        <v>2.302</v>
      </c>
      <c r="B347" s="66" t="s">
        <v>923</v>
      </c>
      <c r="C347" s="112" t="s">
        <v>309</v>
      </c>
      <c r="D347" s="52" t="s">
        <v>153</v>
      </c>
      <c r="E347" s="116" t="s">
        <v>922</v>
      </c>
      <c r="F347" s="52" t="s">
        <v>105</v>
      </c>
      <c r="G347" s="52" t="s">
        <v>105</v>
      </c>
      <c r="H347" s="52" t="s">
        <v>105</v>
      </c>
      <c r="I347" s="66"/>
      <c r="J347" s="209"/>
      <c r="K347" s="69"/>
    </row>
    <row r="348" spans="1:11" s="5" customFormat="1" ht="12.75" customHeight="1">
      <c r="A348" s="96">
        <v>2.302</v>
      </c>
      <c r="B348" s="66" t="s">
        <v>917</v>
      </c>
      <c r="C348" s="112" t="s">
        <v>309</v>
      </c>
      <c r="D348" s="52" t="s">
        <v>153</v>
      </c>
      <c r="E348" s="116" t="s">
        <v>916</v>
      </c>
      <c r="F348" s="52" t="s">
        <v>105</v>
      </c>
      <c r="G348" s="52" t="s">
        <v>105</v>
      </c>
      <c r="H348" s="52" t="s">
        <v>105</v>
      </c>
      <c r="I348" s="66"/>
      <c r="J348" s="209"/>
      <c r="K348" s="69" t="s">
        <v>105</v>
      </c>
    </row>
    <row r="349" spans="1:11" s="6" customFormat="1" ht="12.75" customHeight="1">
      <c r="A349" s="96">
        <v>2.302</v>
      </c>
      <c r="B349" s="66" t="s">
        <v>851</v>
      </c>
      <c r="C349" s="112" t="s">
        <v>309</v>
      </c>
      <c r="D349" s="52" t="s">
        <v>153</v>
      </c>
      <c r="E349" s="116" t="s">
        <v>850</v>
      </c>
      <c r="F349" s="52" t="s">
        <v>105</v>
      </c>
      <c r="G349" s="52" t="s">
        <v>105</v>
      </c>
      <c r="H349" s="52" t="s">
        <v>105</v>
      </c>
      <c r="I349" s="66"/>
      <c r="J349" s="209"/>
      <c r="K349" s="69"/>
    </row>
    <row r="350" spans="1:11" s="6" customFormat="1" ht="12.75" customHeight="1">
      <c r="A350" s="96">
        <v>2.302</v>
      </c>
      <c r="B350" s="66" t="s">
        <v>847</v>
      </c>
      <c r="C350" s="112" t="s">
        <v>309</v>
      </c>
      <c r="D350" s="52" t="s">
        <v>153</v>
      </c>
      <c r="E350" s="116" t="s">
        <v>846</v>
      </c>
      <c r="F350" s="52" t="s">
        <v>105</v>
      </c>
      <c r="G350" s="52" t="s">
        <v>105</v>
      </c>
      <c r="H350" s="52" t="s">
        <v>105</v>
      </c>
      <c r="I350" s="66"/>
      <c r="J350" s="209"/>
      <c r="K350" s="69"/>
    </row>
    <row r="351" spans="1:11" s="5" customFormat="1" ht="12.75" customHeight="1">
      <c r="A351" s="96">
        <v>2.302</v>
      </c>
      <c r="B351" s="52" t="s">
        <v>686</v>
      </c>
      <c r="C351" s="112" t="s">
        <v>309</v>
      </c>
      <c r="D351" s="52" t="s">
        <v>153</v>
      </c>
      <c r="E351" s="99" t="s">
        <v>685</v>
      </c>
      <c r="F351" s="52" t="s">
        <v>105</v>
      </c>
      <c r="G351" s="52" t="s">
        <v>105</v>
      </c>
      <c r="H351" s="52" t="s">
        <v>105</v>
      </c>
      <c r="I351" s="52"/>
      <c r="J351" s="207"/>
      <c r="K351" s="69"/>
    </row>
    <row r="352" spans="1:11" s="5" customFormat="1" ht="12.75" customHeight="1">
      <c r="A352" s="96">
        <v>2.302</v>
      </c>
      <c r="B352" s="52" t="s">
        <v>669</v>
      </c>
      <c r="C352" s="112" t="s">
        <v>309</v>
      </c>
      <c r="D352" s="52" t="s">
        <v>153</v>
      </c>
      <c r="E352" s="99" t="s">
        <v>670</v>
      </c>
      <c r="F352" s="52" t="s">
        <v>105</v>
      </c>
      <c r="G352" s="52" t="s">
        <v>105</v>
      </c>
      <c r="H352" s="52" t="s">
        <v>105</v>
      </c>
      <c r="I352" s="52"/>
      <c r="J352" s="207"/>
      <c r="K352" s="69"/>
    </row>
    <row r="353" spans="1:11" s="5" customFormat="1" ht="12.75" customHeight="1">
      <c r="A353" s="96">
        <v>2.302</v>
      </c>
      <c r="B353" s="52" t="s">
        <v>1691</v>
      </c>
      <c r="C353" s="112" t="s">
        <v>309</v>
      </c>
      <c r="D353" s="52" t="s">
        <v>153</v>
      </c>
      <c r="E353" s="99" t="s">
        <v>1690</v>
      </c>
      <c r="F353" s="52" t="s">
        <v>105</v>
      </c>
      <c r="G353" s="52" t="s">
        <v>105</v>
      </c>
      <c r="H353" s="52" t="s">
        <v>105</v>
      </c>
      <c r="I353" s="52"/>
      <c r="J353" s="207"/>
      <c r="K353" s="69"/>
    </row>
    <row r="354" spans="1:11" s="5" customFormat="1" ht="12.75" customHeight="1">
      <c r="A354" s="96">
        <v>2.302</v>
      </c>
      <c r="B354" s="52" t="s">
        <v>667</v>
      </c>
      <c r="C354" s="112" t="s">
        <v>309</v>
      </c>
      <c r="D354" s="52" t="s">
        <v>153</v>
      </c>
      <c r="E354" s="99" t="s">
        <v>665</v>
      </c>
      <c r="F354" s="52" t="s">
        <v>105</v>
      </c>
      <c r="G354" s="52" t="s">
        <v>105</v>
      </c>
      <c r="H354" s="52" t="s">
        <v>105</v>
      </c>
      <c r="I354" s="52"/>
      <c r="J354" s="207"/>
      <c r="K354" s="69"/>
    </row>
    <row r="355" spans="1:11" s="5" customFormat="1" ht="12.75" customHeight="1">
      <c r="A355" s="96">
        <v>2.302</v>
      </c>
      <c r="B355" s="52" t="s">
        <v>668</v>
      </c>
      <c r="C355" s="112" t="s">
        <v>309</v>
      </c>
      <c r="D355" s="52" t="s">
        <v>153</v>
      </c>
      <c r="E355" s="99" t="s">
        <v>666</v>
      </c>
      <c r="F355" s="52" t="s">
        <v>105</v>
      </c>
      <c r="G355" s="52" t="s">
        <v>105</v>
      </c>
      <c r="H355" s="52" t="s">
        <v>105</v>
      </c>
      <c r="I355" s="52"/>
      <c r="J355" s="207"/>
      <c r="K355" s="69"/>
    </row>
    <row r="356" spans="1:11" s="5" customFormat="1" ht="12.75" customHeight="1">
      <c r="A356" s="96">
        <v>2.302</v>
      </c>
      <c r="B356" s="52" t="s">
        <v>634</v>
      </c>
      <c r="C356" s="112" t="s">
        <v>309</v>
      </c>
      <c r="D356" s="52" t="s">
        <v>153</v>
      </c>
      <c r="E356" s="99" t="s">
        <v>635</v>
      </c>
      <c r="F356" s="52" t="s">
        <v>105</v>
      </c>
      <c r="G356" s="52" t="s">
        <v>105</v>
      </c>
      <c r="H356" s="52" t="s">
        <v>105</v>
      </c>
      <c r="I356" s="52"/>
      <c r="J356" s="207"/>
      <c r="K356" s="69"/>
    </row>
    <row r="357" spans="1:11" s="65" customFormat="1" ht="12" customHeight="1">
      <c r="A357" s="96">
        <v>2.302</v>
      </c>
      <c r="B357" s="52" t="s">
        <v>252</v>
      </c>
      <c r="C357" s="112" t="s">
        <v>309</v>
      </c>
      <c r="D357" s="52" t="s">
        <v>153</v>
      </c>
      <c r="E357" s="99" t="s">
        <v>451</v>
      </c>
      <c r="F357" s="52"/>
      <c r="G357" s="52" t="s">
        <v>105</v>
      </c>
      <c r="H357" s="52" t="s">
        <v>105</v>
      </c>
      <c r="I357" s="52"/>
      <c r="J357" s="207"/>
      <c r="K357" s="69"/>
    </row>
    <row r="358" spans="1:11" s="6" customFormat="1" ht="12.75" customHeight="1">
      <c r="A358" s="96">
        <v>2.302</v>
      </c>
      <c r="B358" s="52" t="s">
        <v>253</v>
      </c>
      <c r="C358" s="112" t="s">
        <v>309</v>
      </c>
      <c r="D358" s="52" t="s">
        <v>153</v>
      </c>
      <c r="E358" s="99" t="s">
        <v>452</v>
      </c>
      <c r="F358" s="52" t="s">
        <v>105</v>
      </c>
      <c r="G358" s="52" t="s">
        <v>105</v>
      </c>
      <c r="H358" s="52"/>
      <c r="I358" s="52"/>
      <c r="J358" s="207"/>
      <c r="K358" s="69"/>
    </row>
    <row r="359" spans="1:11" s="6" customFormat="1" ht="12.75" customHeight="1">
      <c r="A359" s="96">
        <v>2.302</v>
      </c>
      <c r="B359" s="52" t="s">
        <v>254</v>
      </c>
      <c r="C359" s="112" t="s">
        <v>309</v>
      </c>
      <c r="D359" s="52" t="s">
        <v>153</v>
      </c>
      <c r="E359" s="99" t="s">
        <v>453</v>
      </c>
      <c r="F359" s="52" t="s">
        <v>105</v>
      </c>
      <c r="G359" s="52" t="s">
        <v>105</v>
      </c>
      <c r="H359" s="52" t="s">
        <v>105</v>
      </c>
      <c r="I359" s="52"/>
      <c r="J359" s="207"/>
      <c r="K359" s="69"/>
    </row>
    <row r="360" spans="1:11" s="6" customFormat="1" ht="12.75" customHeight="1">
      <c r="A360" s="96">
        <v>2.302</v>
      </c>
      <c r="B360" s="52" t="s">
        <v>255</v>
      </c>
      <c r="C360" s="112" t="s">
        <v>309</v>
      </c>
      <c r="D360" s="52" t="s">
        <v>153</v>
      </c>
      <c r="E360" s="99" t="s">
        <v>454</v>
      </c>
      <c r="F360" s="52" t="s">
        <v>105</v>
      </c>
      <c r="G360" s="52" t="s">
        <v>105</v>
      </c>
      <c r="H360" s="52" t="s">
        <v>105</v>
      </c>
      <c r="I360" s="52"/>
      <c r="J360" s="207"/>
      <c r="K360" s="69"/>
    </row>
    <row r="361" spans="1:11" s="6" customFormat="1" ht="12.75" customHeight="1">
      <c r="A361" s="96">
        <v>2.302</v>
      </c>
      <c r="B361" s="52" t="s">
        <v>256</v>
      </c>
      <c r="C361" s="112" t="s">
        <v>309</v>
      </c>
      <c r="D361" s="52" t="s">
        <v>153</v>
      </c>
      <c r="E361" s="99" t="s">
        <v>455</v>
      </c>
      <c r="F361" s="52" t="s">
        <v>105</v>
      </c>
      <c r="G361" s="52" t="s">
        <v>105</v>
      </c>
      <c r="H361" s="52" t="s">
        <v>105</v>
      </c>
      <c r="I361" s="52"/>
      <c r="J361" s="207"/>
      <c r="K361" s="69"/>
    </row>
    <row r="362" spans="1:11" s="6" customFormat="1" ht="12.75" customHeight="1">
      <c r="A362" s="96">
        <v>2.302</v>
      </c>
      <c r="B362" s="52" t="s">
        <v>257</v>
      </c>
      <c r="C362" s="112" t="s">
        <v>309</v>
      </c>
      <c r="D362" s="52" t="s">
        <v>153</v>
      </c>
      <c r="E362" s="99" t="s">
        <v>456</v>
      </c>
      <c r="F362" s="52" t="s">
        <v>105</v>
      </c>
      <c r="G362" s="52" t="s">
        <v>105</v>
      </c>
      <c r="H362" s="52" t="s">
        <v>105</v>
      </c>
      <c r="I362" s="52"/>
      <c r="J362" s="207"/>
      <c r="K362" s="69"/>
    </row>
    <row r="363" spans="1:11" s="6" customFormat="1" ht="12.75" customHeight="1">
      <c r="A363" s="96">
        <v>2.302</v>
      </c>
      <c r="B363" s="52" t="s">
        <v>258</v>
      </c>
      <c r="C363" s="112" t="s">
        <v>309</v>
      </c>
      <c r="D363" s="52" t="s">
        <v>153</v>
      </c>
      <c r="E363" s="99" t="s">
        <v>216</v>
      </c>
      <c r="F363" s="52"/>
      <c r="G363" s="52" t="s">
        <v>105</v>
      </c>
      <c r="H363" s="52"/>
      <c r="I363" s="52"/>
      <c r="J363" s="207"/>
      <c r="K363" s="69"/>
    </row>
    <row r="364" spans="1:11" s="6" customFormat="1" ht="12.75" customHeight="1">
      <c r="A364" s="96">
        <v>2.302</v>
      </c>
      <c r="B364" s="52" t="s">
        <v>259</v>
      </c>
      <c r="C364" s="112" t="s">
        <v>309</v>
      </c>
      <c r="D364" s="52" t="s">
        <v>153</v>
      </c>
      <c r="E364" s="99" t="s">
        <v>457</v>
      </c>
      <c r="F364" s="52" t="s">
        <v>105</v>
      </c>
      <c r="G364" s="52" t="s">
        <v>105</v>
      </c>
      <c r="H364" s="52" t="s">
        <v>105</v>
      </c>
      <c r="I364" s="52"/>
      <c r="J364" s="207"/>
      <c r="K364" s="69"/>
    </row>
    <row r="365" spans="1:11" s="6" customFormat="1" ht="12.75" customHeight="1">
      <c r="A365" s="96">
        <v>2.302</v>
      </c>
      <c r="B365" s="52" t="s">
        <v>653</v>
      </c>
      <c r="C365" s="112" t="s">
        <v>309</v>
      </c>
      <c r="D365" s="52" t="s">
        <v>153</v>
      </c>
      <c r="E365" s="116" t="s">
        <v>654</v>
      </c>
      <c r="F365" s="52" t="s">
        <v>105</v>
      </c>
      <c r="G365" s="52" t="s">
        <v>105</v>
      </c>
      <c r="H365" s="52" t="s">
        <v>105</v>
      </c>
      <c r="I365" s="66"/>
      <c r="J365" s="209"/>
      <c r="K365" s="69"/>
    </row>
    <row r="366" spans="1:11" s="6" customFormat="1" ht="12.75" customHeight="1">
      <c r="A366" s="96">
        <v>2.302</v>
      </c>
      <c r="B366" s="52" t="s">
        <v>603</v>
      </c>
      <c r="C366" s="112" t="s">
        <v>309</v>
      </c>
      <c r="D366" s="52" t="s">
        <v>153</v>
      </c>
      <c r="E366" s="116" t="s">
        <v>604</v>
      </c>
      <c r="F366" s="52" t="s">
        <v>105</v>
      </c>
      <c r="G366" s="52" t="s">
        <v>105</v>
      </c>
      <c r="H366" s="52" t="s">
        <v>105</v>
      </c>
      <c r="I366" s="66"/>
      <c r="J366" s="209"/>
      <c r="K366" s="69"/>
    </row>
    <row r="367" spans="1:11" s="6" customFormat="1" ht="12.75" customHeight="1">
      <c r="A367" s="96">
        <v>2.302</v>
      </c>
      <c r="B367" s="52" t="s">
        <v>622</v>
      </c>
      <c r="C367" s="112" t="s">
        <v>309</v>
      </c>
      <c r="D367" s="52" t="s">
        <v>153</v>
      </c>
      <c r="E367" s="116" t="s">
        <v>623</v>
      </c>
      <c r="F367" s="52" t="s">
        <v>105</v>
      </c>
      <c r="G367" s="52" t="s">
        <v>105</v>
      </c>
      <c r="H367" s="52" t="s">
        <v>105</v>
      </c>
      <c r="I367" s="66"/>
      <c r="J367" s="209"/>
      <c r="K367" s="69"/>
    </row>
    <row r="368" spans="1:11" s="6" customFormat="1" ht="12.75" customHeight="1">
      <c r="A368" s="115">
        <v>2.302</v>
      </c>
      <c r="B368" s="66" t="s">
        <v>616</v>
      </c>
      <c r="C368" s="112" t="s">
        <v>309</v>
      </c>
      <c r="D368" s="52" t="s">
        <v>153</v>
      </c>
      <c r="E368" s="116" t="s">
        <v>615</v>
      </c>
      <c r="F368" s="52" t="s">
        <v>105</v>
      </c>
      <c r="G368" s="52" t="s">
        <v>105</v>
      </c>
      <c r="H368" s="52" t="s">
        <v>105</v>
      </c>
      <c r="I368" s="66"/>
      <c r="J368" s="209"/>
      <c r="K368" s="69" t="s">
        <v>105</v>
      </c>
    </row>
    <row r="369" spans="1:11" s="6" customFormat="1" ht="12.75" customHeight="1">
      <c r="A369" s="115">
        <v>2.302</v>
      </c>
      <c r="B369" s="52" t="s">
        <v>691</v>
      </c>
      <c r="C369" s="112" t="s">
        <v>309</v>
      </c>
      <c r="D369" s="52" t="s">
        <v>153</v>
      </c>
      <c r="E369" s="116" t="s">
        <v>692</v>
      </c>
      <c r="F369" s="52" t="s">
        <v>105</v>
      </c>
      <c r="G369" s="52" t="s">
        <v>105</v>
      </c>
      <c r="H369" s="52" t="s">
        <v>105</v>
      </c>
      <c r="I369" s="66"/>
      <c r="J369" s="209"/>
      <c r="K369" s="69"/>
    </row>
    <row r="370" spans="1:11" s="6" customFormat="1" ht="13.5" customHeight="1" thickBot="1">
      <c r="A370" s="115">
        <v>2.302</v>
      </c>
      <c r="B370" s="66" t="s">
        <v>784</v>
      </c>
      <c r="C370" s="112" t="s">
        <v>309</v>
      </c>
      <c r="D370" s="52" t="s">
        <v>153</v>
      </c>
      <c r="E370" s="116" t="s">
        <v>783</v>
      </c>
      <c r="F370" s="52" t="s">
        <v>105</v>
      </c>
      <c r="G370" s="52" t="s">
        <v>105</v>
      </c>
      <c r="H370" s="52" t="s">
        <v>105</v>
      </c>
      <c r="I370" s="66"/>
      <c r="J370" s="209"/>
      <c r="K370" s="69" t="s">
        <v>105</v>
      </c>
    </row>
    <row r="371" spans="1:11" s="65" customFormat="1" ht="21" customHeight="1" thickBot="1">
      <c r="A371" s="299" t="s">
        <v>154</v>
      </c>
      <c r="B371" s="300"/>
      <c r="C371" s="300"/>
      <c r="D371" s="300"/>
      <c r="E371" s="301"/>
      <c r="F371" s="296" t="s">
        <v>87</v>
      </c>
      <c r="G371" s="297"/>
      <c r="H371" s="297"/>
      <c r="I371" s="297"/>
      <c r="J371" s="298"/>
      <c r="K371" s="192">
        <f>SUBTOTAL(3,D372:D385)</f>
        <v>14</v>
      </c>
    </row>
    <row r="372" spans="1:11" s="5" customFormat="1" ht="12.75" customHeight="1">
      <c r="A372" s="160">
        <v>2.274</v>
      </c>
      <c r="B372" s="156" t="s">
        <v>1779</v>
      </c>
      <c r="C372" s="33" t="s">
        <v>1781</v>
      </c>
      <c r="D372" s="53" t="s">
        <v>154</v>
      </c>
      <c r="E372" s="99" t="s">
        <v>1780</v>
      </c>
      <c r="F372" s="52" t="s">
        <v>105</v>
      </c>
      <c r="G372" s="52" t="s">
        <v>105</v>
      </c>
      <c r="H372" s="52" t="s">
        <v>105</v>
      </c>
      <c r="I372" s="53"/>
      <c r="J372" s="208"/>
      <c r="K372" s="68"/>
    </row>
    <row r="373" spans="1:11" s="5" customFormat="1" ht="12.75" customHeight="1">
      <c r="A373" s="160">
        <v>2.392</v>
      </c>
      <c r="B373" s="156" t="s">
        <v>1609</v>
      </c>
      <c r="C373" s="33" t="s">
        <v>1374</v>
      </c>
      <c r="D373" s="53" t="s">
        <v>154</v>
      </c>
      <c r="E373" s="99" t="s">
        <v>1607</v>
      </c>
      <c r="F373" s="52" t="s">
        <v>105</v>
      </c>
      <c r="G373" s="52" t="s">
        <v>105</v>
      </c>
      <c r="H373" s="52" t="s">
        <v>105</v>
      </c>
      <c r="I373" s="53"/>
      <c r="J373" s="208"/>
      <c r="K373" s="68"/>
    </row>
    <row r="374" spans="1:11" s="5" customFormat="1" ht="12.75" customHeight="1">
      <c r="A374" s="160">
        <v>2.392</v>
      </c>
      <c r="B374" s="156" t="s">
        <v>1610</v>
      </c>
      <c r="C374" s="33" t="s">
        <v>1374</v>
      </c>
      <c r="D374" s="53" t="s">
        <v>154</v>
      </c>
      <c r="E374" s="99" t="s">
        <v>1608</v>
      </c>
      <c r="F374" s="52" t="s">
        <v>105</v>
      </c>
      <c r="G374" s="52" t="s">
        <v>105</v>
      </c>
      <c r="H374" s="52" t="s">
        <v>105</v>
      </c>
      <c r="I374" s="53"/>
      <c r="J374" s="208"/>
      <c r="K374" s="68"/>
    </row>
    <row r="375" spans="1:11" s="5" customFormat="1" ht="12.75" customHeight="1">
      <c r="A375" s="161">
        <v>2.248</v>
      </c>
      <c r="B375" s="162" t="s">
        <v>1287</v>
      </c>
      <c r="C375" s="111" t="s">
        <v>928</v>
      </c>
      <c r="D375" s="52" t="s">
        <v>154</v>
      </c>
      <c r="E375" s="99" t="s">
        <v>1394</v>
      </c>
      <c r="F375" s="52" t="s">
        <v>105</v>
      </c>
      <c r="G375" s="52" t="s">
        <v>105</v>
      </c>
      <c r="H375" s="52" t="s">
        <v>105</v>
      </c>
      <c r="I375" s="53"/>
      <c r="J375" s="208"/>
      <c r="K375" s="68"/>
    </row>
    <row r="376" spans="1:11" s="5" customFormat="1" ht="12.75" customHeight="1">
      <c r="A376" s="160">
        <v>2.248</v>
      </c>
      <c r="B376" s="156" t="s">
        <v>1362</v>
      </c>
      <c r="C376" s="112" t="s">
        <v>928</v>
      </c>
      <c r="D376" s="52" t="s">
        <v>154</v>
      </c>
      <c r="E376" s="99" t="s">
        <v>1363</v>
      </c>
      <c r="F376" s="52" t="s">
        <v>105</v>
      </c>
      <c r="G376" s="52" t="s">
        <v>105</v>
      </c>
      <c r="H376" s="52" t="s">
        <v>105</v>
      </c>
      <c r="I376" s="53"/>
      <c r="J376" s="208"/>
      <c r="K376" s="68"/>
    </row>
    <row r="377" spans="1:11" s="5" customFormat="1" ht="12.75" customHeight="1">
      <c r="A377" s="160">
        <v>2.248</v>
      </c>
      <c r="B377" s="156" t="s">
        <v>1340</v>
      </c>
      <c r="C377" s="112" t="s">
        <v>928</v>
      </c>
      <c r="D377" s="52" t="s">
        <v>154</v>
      </c>
      <c r="E377" s="99" t="s">
        <v>1341</v>
      </c>
      <c r="F377" s="52" t="s">
        <v>105</v>
      </c>
      <c r="G377" s="52" t="s">
        <v>105</v>
      </c>
      <c r="H377" s="52" t="s">
        <v>105</v>
      </c>
      <c r="I377" s="53"/>
      <c r="J377" s="208"/>
      <c r="K377" s="68"/>
    </row>
    <row r="378" spans="1:11" s="5" customFormat="1" ht="12.75" customHeight="1">
      <c r="A378" s="122">
        <v>2.248</v>
      </c>
      <c r="B378" s="52" t="s">
        <v>1100</v>
      </c>
      <c r="C378" s="112" t="s">
        <v>928</v>
      </c>
      <c r="D378" s="52" t="s">
        <v>154</v>
      </c>
      <c r="E378" s="99" t="s">
        <v>1101</v>
      </c>
      <c r="F378" s="52" t="s">
        <v>105</v>
      </c>
      <c r="G378" s="52" t="s">
        <v>105</v>
      </c>
      <c r="H378" s="52" t="s">
        <v>105</v>
      </c>
      <c r="I378" s="53"/>
      <c r="J378" s="208"/>
      <c r="K378" s="68"/>
    </row>
    <row r="379" spans="1:11" s="6" customFormat="1" ht="12.75" customHeight="1">
      <c r="A379" s="96">
        <v>2.248</v>
      </c>
      <c r="B379" s="52" t="s">
        <v>262</v>
      </c>
      <c r="C379" s="112" t="s">
        <v>928</v>
      </c>
      <c r="D379" s="52" t="s">
        <v>154</v>
      </c>
      <c r="E379" s="99" t="s">
        <v>260</v>
      </c>
      <c r="F379" s="52" t="s">
        <v>105</v>
      </c>
      <c r="G379" s="52" t="s">
        <v>105</v>
      </c>
      <c r="H379" s="52" t="s">
        <v>105</v>
      </c>
      <c r="I379" s="52"/>
      <c r="J379" s="207"/>
      <c r="K379" s="69"/>
    </row>
    <row r="380" spans="1:11" s="6" customFormat="1" ht="12.75" customHeight="1">
      <c r="A380" s="96">
        <v>2.248</v>
      </c>
      <c r="B380" s="52" t="s">
        <v>263</v>
      </c>
      <c r="C380" s="112" t="s">
        <v>928</v>
      </c>
      <c r="D380" s="52" t="s">
        <v>154</v>
      </c>
      <c r="E380" s="99" t="s">
        <v>1459</v>
      </c>
      <c r="F380" s="52" t="s">
        <v>105</v>
      </c>
      <c r="G380" s="52" t="s">
        <v>105</v>
      </c>
      <c r="H380" s="52" t="s">
        <v>105</v>
      </c>
      <c r="I380" s="52"/>
      <c r="J380" s="207"/>
      <c r="K380" s="69"/>
    </row>
    <row r="381" spans="1:11" s="6" customFormat="1" ht="12.75" customHeight="1">
      <c r="A381" s="96">
        <v>2.248</v>
      </c>
      <c r="B381" s="52" t="s">
        <v>264</v>
      </c>
      <c r="C381" s="112" t="s">
        <v>928</v>
      </c>
      <c r="D381" s="52" t="s">
        <v>154</v>
      </c>
      <c r="E381" s="99" t="s">
        <v>155</v>
      </c>
      <c r="F381" s="52" t="s">
        <v>105</v>
      </c>
      <c r="G381" s="52" t="s">
        <v>105</v>
      </c>
      <c r="H381" s="52" t="s">
        <v>105</v>
      </c>
      <c r="I381" s="52"/>
      <c r="J381" s="207"/>
      <c r="K381" s="69"/>
    </row>
    <row r="382" spans="1:11" s="6" customFormat="1" ht="12.75" customHeight="1">
      <c r="A382" s="96">
        <v>2.248</v>
      </c>
      <c r="B382" s="52" t="s">
        <v>265</v>
      </c>
      <c r="C382" s="112" t="s">
        <v>928</v>
      </c>
      <c r="D382" s="52" t="s">
        <v>154</v>
      </c>
      <c r="E382" s="99" t="s">
        <v>156</v>
      </c>
      <c r="F382" s="52" t="s">
        <v>105</v>
      </c>
      <c r="G382" s="52" t="s">
        <v>105</v>
      </c>
      <c r="H382" s="52" t="s">
        <v>105</v>
      </c>
      <c r="I382" s="52"/>
      <c r="J382" s="207"/>
      <c r="K382" s="69"/>
    </row>
    <row r="383" spans="1:11" s="6" customFormat="1" ht="12.75" customHeight="1">
      <c r="A383" s="96">
        <v>2.248</v>
      </c>
      <c r="B383" s="52" t="s">
        <v>266</v>
      </c>
      <c r="C383" s="112" t="s">
        <v>928</v>
      </c>
      <c r="D383" s="52" t="s">
        <v>154</v>
      </c>
      <c r="E383" s="99" t="s">
        <v>639</v>
      </c>
      <c r="F383" s="52" t="s">
        <v>105</v>
      </c>
      <c r="G383" s="52" t="s">
        <v>105</v>
      </c>
      <c r="H383" s="52" t="s">
        <v>105</v>
      </c>
      <c r="I383" s="52"/>
      <c r="J383" s="207"/>
      <c r="K383" s="69"/>
    </row>
    <row r="384" spans="1:11" s="6" customFormat="1" ht="12.75" customHeight="1">
      <c r="A384" s="96">
        <v>2.248</v>
      </c>
      <c r="B384" s="52" t="s">
        <v>267</v>
      </c>
      <c r="C384" s="112" t="s">
        <v>928</v>
      </c>
      <c r="D384" s="52" t="s">
        <v>154</v>
      </c>
      <c r="E384" s="99" t="s">
        <v>458</v>
      </c>
      <c r="F384" s="52" t="s">
        <v>105</v>
      </c>
      <c r="G384" s="52" t="s">
        <v>105</v>
      </c>
      <c r="H384" s="52" t="s">
        <v>105</v>
      </c>
      <c r="I384" s="52"/>
      <c r="J384" s="207"/>
      <c r="K384" s="69"/>
    </row>
    <row r="385" spans="1:11" s="6" customFormat="1" ht="13.5" customHeight="1" thickBot="1">
      <c r="A385" s="96">
        <v>2.248</v>
      </c>
      <c r="B385" s="52" t="s">
        <v>268</v>
      </c>
      <c r="C385" s="112" t="s">
        <v>928</v>
      </c>
      <c r="D385" s="52" t="s">
        <v>154</v>
      </c>
      <c r="E385" s="99" t="s">
        <v>261</v>
      </c>
      <c r="F385" s="52" t="s">
        <v>105</v>
      </c>
      <c r="G385" s="52" t="s">
        <v>105</v>
      </c>
      <c r="H385" s="52" t="s">
        <v>105</v>
      </c>
      <c r="I385" s="52"/>
      <c r="J385" s="207"/>
      <c r="K385" s="69"/>
    </row>
    <row r="386" spans="1:11" s="65" customFormat="1" ht="19.5" customHeight="1" thickBot="1">
      <c r="A386" s="299" t="s">
        <v>464</v>
      </c>
      <c r="B386" s="300"/>
      <c r="C386" s="300"/>
      <c r="D386" s="300"/>
      <c r="E386" s="301"/>
      <c r="F386" s="296" t="s">
        <v>87</v>
      </c>
      <c r="G386" s="297"/>
      <c r="H386" s="297"/>
      <c r="I386" s="297"/>
      <c r="J386" s="298"/>
      <c r="K386" s="190">
        <f>SUBTOTAL(3,D387:D405)</f>
        <v>19</v>
      </c>
    </row>
    <row r="387" spans="1:11" s="6" customFormat="1" ht="12.75" customHeight="1">
      <c r="A387" s="161">
        <v>2.253</v>
      </c>
      <c r="B387" s="158" t="s">
        <v>1420</v>
      </c>
      <c r="C387" s="111" t="s">
        <v>1130</v>
      </c>
      <c r="D387" s="52" t="s">
        <v>464</v>
      </c>
      <c r="E387" s="107" t="s">
        <v>774</v>
      </c>
      <c r="F387" s="52" t="s">
        <v>105</v>
      </c>
      <c r="G387" s="52" t="s">
        <v>105</v>
      </c>
      <c r="H387" s="52" t="s">
        <v>105</v>
      </c>
      <c r="I387" s="52"/>
      <c r="J387" s="207"/>
      <c r="K387" s="69"/>
    </row>
    <row r="388" spans="1:11" s="6" customFormat="1" ht="12.75" customHeight="1">
      <c r="A388" s="161">
        <v>2.253</v>
      </c>
      <c r="B388" s="157" t="s">
        <v>1220</v>
      </c>
      <c r="C388" s="112" t="s">
        <v>1130</v>
      </c>
      <c r="D388" s="52" t="s">
        <v>464</v>
      </c>
      <c r="E388" s="107" t="s">
        <v>1221</v>
      </c>
      <c r="F388" s="52" t="s">
        <v>105</v>
      </c>
      <c r="G388" s="52" t="s">
        <v>105</v>
      </c>
      <c r="H388" s="52" t="s">
        <v>105</v>
      </c>
      <c r="I388" s="52"/>
      <c r="J388" s="207"/>
      <c r="K388" s="69"/>
    </row>
    <row r="389" spans="1:11" s="6" customFormat="1" ht="12.75" customHeight="1">
      <c r="A389" s="161">
        <v>2.253</v>
      </c>
      <c r="B389" s="157" t="s">
        <v>1212</v>
      </c>
      <c r="C389" s="112" t="s">
        <v>1130</v>
      </c>
      <c r="D389" s="52" t="s">
        <v>464</v>
      </c>
      <c r="E389" s="107" t="s">
        <v>1213</v>
      </c>
      <c r="F389" s="52" t="s">
        <v>105</v>
      </c>
      <c r="G389" s="52" t="s">
        <v>105</v>
      </c>
      <c r="H389" s="52" t="s">
        <v>105</v>
      </c>
      <c r="I389" s="52"/>
      <c r="J389" s="207"/>
      <c r="K389" s="69"/>
    </row>
    <row r="390" spans="1:11" s="6" customFormat="1" ht="12.75" customHeight="1">
      <c r="A390" s="161">
        <v>2.253</v>
      </c>
      <c r="B390" s="157" t="s">
        <v>1192</v>
      </c>
      <c r="C390" s="112" t="s">
        <v>1130</v>
      </c>
      <c r="D390" s="52" t="s">
        <v>464</v>
      </c>
      <c r="E390" s="107" t="s">
        <v>1193</v>
      </c>
      <c r="F390" s="52" t="s">
        <v>105</v>
      </c>
      <c r="G390" s="52" t="s">
        <v>105</v>
      </c>
      <c r="H390" s="52" t="s">
        <v>105</v>
      </c>
      <c r="I390" s="52"/>
      <c r="J390" s="207"/>
      <c r="K390" s="69"/>
    </row>
    <row r="391" spans="1:11" s="6" customFormat="1" ht="12.75" customHeight="1">
      <c r="A391" s="161">
        <v>2.253</v>
      </c>
      <c r="B391" s="157" t="s">
        <v>1188</v>
      </c>
      <c r="C391" s="112" t="s">
        <v>1130</v>
      </c>
      <c r="D391" s="52" t="s">
        <v>464</v>
      </c>
      <c r="E391" s="107" t="s">
        <v>1189</v>
      </c>
      <c r="F391" s="52" t="s">
        <v>105</v>
      </c>
      <c r="G391" s="52" t="s">
        <v>105</v>
      </c>
      <c r="H391" s="52" t="s">
        <v>105</v>
      </c>
      <c r="I391" s="52"/>
      <c r="J391" s="207"/>
      <c r="K391" s="69"/>
    </row>
    <row r="392" spans="1:11" s="6" customFormat="1" ht="13.5" customHeight="1">
      <c r="A392" s="161">
        <v>2.253</v>
      </c>
      <c r="B392" s="157" t="s">
        <v>1118</v>
      </c>
      <c r="C392" s="112" t="s">
        <v>1130</v>
      </c>
      <c r="D392" s="52" t="s">
        <v>464</v>
      </c>
      <c r="E392" s="107" t="s">
        <v>1119</v>
      </c>
      <c r="F392" s="52" t="s">
        <v>105</v>
      </c>
      <c r="G392" s="52" t="s">
        <v>105</v>
      </c>
      <c r="H392" s="52" t="s">
        <v>105</v>
      </c>
      <c r="I392" s="52"/>
      <c r="J392" s="207"/>
      <c r="K392" s="69"/>
    </row>
    <row r="393" spans="1:11" s="6" customFormat="1" ht="13.5" customHeight="1">
      <c r="A393" s="161">
        <v>2.253</v>
      </c>
      <c r="B393" s="157" t="s">
        <v>1097</v>
      </c>
      <c r="C393" s="112" t="s">
        <v>1130</v>
      </c>
      <c r="D393" s="52" t="s">
        <v>464</v>
      </c>
      <c r="E393" s="107" t="s">
        <v>1098</v>
      </c>
      <c r="F393" s="52" t="s">
        <v>105</v>
      </c>
      <c r="G393" s="52" t="s">
        <v>105</v>
      </c>
      <c r="H393" s="52" t="s">
        <v>105</v>
      </c>
      <c r="I393" s="52"/>
      <c r="J393" s="207"/>
      <c r="K393" s="69"/>
    </row>
    <row r="394" spans="1:11" s="6" customFormat="1" ht="13.5" customHeight="1">
      <c r="A394" s="161">
        <v>2.253</v>
      </c>
      <c r="B394" s="157" t="s">
        <v>1043</v>
      </c>
      <c r="C394" s="112" t="s">
        <v>1130</v>
      </c>
      <c r="D394" s="52" t="s">
        <v>464</v>
      </c>
      <c r="E394" s="107" t="s">
        <v>1044</v>
      </c>
      <c r="F394" s="52" t="s">
        <v>105</v>
      </c>
      <c r="G394" s="52" t="s">
        <v>105</v>
      </c>
      <c r="H394" s="52" t="s">
        <v>105</v>
      </c>
      <c r="I394" s="52"/>
      <c r="J394" s="207"/>
      <c r="K394" s="69"/>
    </row>
    <row r="395" spans="1:11" s="6" customFormat="1" ht="13.5" customHeight="1">
      <c r="A395" s="161">
        <v>2.253</v>
      </c>
      <c r="B395" s="157" t="s">
        <v>974</v>
      </c>
      <c r="C395" s="112" t="s">
        <v>1130</v>
      </c>
      <c r="D395" s="52" t="s">
        <v>464</v>
      </c>
      <c r="E395" s="107" t="s">
        <v>975</v>
      </c>
      <c r="F395" s="52" t="s">
        <v>105</v>
      </c>
      <c r="G395" s="52" t="s">
        <v>105</v>
      </c>
      <c r="H395" s="52" t="s">
        <v>105</v>
      </c>
      <c r="I395" s="52"/>
      <c r="J395" s="207"/>
      <c r="K395" s="69"/>
    </row>
    <row r="396" spans="1:11" s="6" customFormat="1" ht="13.5" customHeight="1">
      <c r="A396" s="161">
        <v>2.253</v>
      </c>
      <c r="B396" s="157" t="s">
        <v>841</v>
      </c>
      <c r="C396" s="112" t="s">
        <v>1130</v>
      </c>
      <c r="D396" s="52" t="s">
        <v>464</v>
      </c>
      <c r="E396" s="107" t="s">
        <v>840</v>
      </c>
      <c r="F396" s="52" t="s">
        <v>105</v>
      </c>
      <c r="G396" s="52" t="s">
        <v>105</v>
      </c>
      <c r="H396" s="52" t="s">
        <v>105</v>
      </c>
      <c r="I396" s="52"/>
      <c r="J396" s="207"/>
      <c r="K396" s="69"/>
    </row>
    <row r="397" spans="1:11" s="6" customFormat="1" ht="12.75" customHeight="1">
      <c r="A397" s="100">
        <v>2.253</v>
      </c>
      <c r="B397" s="105" t="s">
        <v>776</v>
      </c>
      <c r="C397" s="112" t="s">
        <v>1130</v>
      </c>
      <c r="D397" s="52" t="s">
        <v>464</v>
      </c>
      <c r="E397" s="107" t="s">
        <v>772</v>
      </c>
      <c r="F397" s="52" t="s">
        <v>105</v>
      </c>
      <c r="G397" s="52" t="s">
        <v>105</v>
      </c>
      <c r="H397" s="52" t="s">
        <v>105</v>
      </c>
      <c r="I397" s="52"/>
      <c r="J397" s="207"/>
      <c r="K397" s="69"/>
    </row>
    <row r="398" spans="1:11" s="6" customFormat="1" ht="12.75" customHeight="1">
      <c r="A398" s="104">
        <v>2.253</v>
      </c>
      <c r="B398" s="105" t="s">
        <v>777</v>
      </c>
      <c r="C398" s="112" t="s">
        <v>1130</v>
      </c>
      <c r="D398" s="52" t="s">
        <v>464</v>
      </c>
      <c r="E398" s="107" t="s">
        <v>773</v>
      </c>
      <c r="F398" s="52" t="s">
        <v>105</v>
      </c>
      <c r="G398" s="52" t="s">
        <v>105</v>
      </c>
      <c r="H398" s="52" t="s">
        <v>105</v>
      </c>
      <c r="I398" s="52"/>
      <c r="J398" s="207"/>
      <c r="K398" s="69"/>
    </row>
    <row r="399" spans="1:11" s="6" customFormat="1" ht="12.75" customHeight="1">
      <c r="A399" s="104">
        <v>2.253</v>
      </c>
      <c r="B399" s="105" t="s">
        <v>778</v>
      </c>
      <c r="C399" s="112" t="s">
        <v>1130</v>
      </c>
      <c r="D399" s="52" t="s">
        <v>464</v>
      </c>
      <c r="E399" s="107" t="s">
        <v>775</v>
      </c>
      <c r="F399" s="52" t="s">
        <v>105</v>
      </c>
      <c r="G399" s="52" t="s">
        <v>105</v>
      </c>
      <c r="H399" s="52" t="s">
        <v>105</v>
      </c>
      <c r="I399" s="52"/>
      <c r="J399" s="207"/>
      <c r="K399" s="69"/>
    </row>
    <row r="400" spans="1:11" s="6" customFormat="1" ht="12.75" customHeight="1">
      <c r="A400" s="104">
        <v>2.253</v>
      </c>
      <c r="B400" s="105" t="s">
        <v>780</v>
      </c>
      <c r="C400" s="112" t="s">
        <v>1130</v>
      </c>
      <c r="D400" s="52" t="s">
        <v>464</v>
      </c>
      <c r="E400" s="107" t="s">
        <v>779</v>
      </c>
      <c r="F400" s="52" t="s">
        <v>105</v>
      </c>
      <c r="G400" s="52" t="s">
        <v>105</v>
      </c>
      <c r="H400" s="52" t="s">
        <v>105</v>
      </c>
      <c r="I400" s="52"/>
      <c r="J400" s="207"/>
      <c r="K400" s="69"/>
    </row>
    <row r="401" spans="1:11" s="6" customFormat="1" ht="12.75" customHeight="1">
      <c r="A401" s="104">
        <v>2.253</v>
      </c>
      <c r="B401" s="105" t="s">
        <v>831</v>
      </c>
      <c r="C401" s="112" t="s">
        <v>1130</v>
      </c>
      <c r="D401" s="52" t="s">
        <v>464</v>
      </c>
      <c r="E401" s="107" t="s">
        <v>826</v>
      </c>
      <c r="F401" s="52" t="s">
        <v>105</v>
      </c>
      <c r="G401" s="52" t="s">
        <v>105</v>
      </c>
      <c r="H401" s="52" t="s">
        <v>105</v>
      </c>
      <c r="I401" s="52"/>
      <c r="J401" s="207"/>
      <c r="K401" s="69"/>
    </row>
    <row r="402" spans="1:11" s="6" customFormat="1" ht="12.75" customHeight="1">
      <c r="A402" s="104">
        <v>2.253</v>
      </c>
      <c r="B402" s="105" t="s">
        <v>832</v>
      </c>
      <c r="C402" s="112" t="s">
        <v>1130</v>
      </c>
      <c r="D402" s="52" t="s">
        <v>464</v>
      </c>
      <c r="E402" s="107" t="s">
        <v>827</v>
      </c>
      <c r="F402" s="52" t="s">
        <v>105</v>
      </c>
      <c r="G402" s="52" t="s">
        <v>105</v>
      </c>
      <c r="H402" s="52" t="s">
        <v>105</v>
      </c>
      <c r="I402" s="52"/>
      <c r="J402" s="207"/>
      <c r="K402" s="69"/>
    </row>
    <row r="403" spans="1:11" s="6" customFormat="1" ht="12.75" customHeight="1">
      <c r="A403" s="104">
        <v>2.253</v>
      </c>
      <c r="B403" s="105" t="s">
        <v>833</v>
      </c>
      <c r="C403" s="112" t="s">
        <v>1130</v>
      </c>
      <c r="D403" s="52" t="s">
        <v>464</v>
      </c>
      <c r="E403" s="107" t="s">
        <v>828</v>
      </c>
      <c r="F403" s="52" t="s">
        <v>105</v>
      </c>
      <c r="G403" s="52" t="s">
        <v>105</v>
      </c>
      <c r="H403" s="52" t="s">
        <v>105</v>
      </c>
      <c r="I403" s="52"/>
      <c r="J403" s="207"/>
      <c r="K403" s="69"/>
    </row>
    <row r="404" spans="1:11" s="6" customFormat="1" ht="12.75" customHeight="1">
      <c r="A404" s="104">
        <v>2.253</v>
      </c>
      <c r="B404" s="105" t="s">
        <v>834</v>
      </c>
      <c r="C404" s="112" t="s">
        <v>1130</v>
      </c>
      <c r="D404" s="52" t="s">
        <v>464</v>
      </c>
      <c r="E404" s="107" t="s">
        <v>829</v>
      </c>
      <c r="F404" s="52" t="s">
        <v>105</v>
      </c>
      <c r="G404" s="52" t="s">
        <v>105</v>
      </c>
      <c r="H404" s="52" t="s">
        <v>105</v>
      </c>
      <c r="I404" s="52"/>
      <c r="J404" s="207"/>
      <c r="K404" s="69"/>
    </row>
    <row r="405" spans="1:11" s="6" customFormat="1" ht="12.75" customHeight="1" thickBot="1">
      <c r="A405" s="104">
        <v>2.253</v>
      </c>
      <c r="B405" s="105" t="s">
        <v>835</v>
      </c>
      <c r="C405" s="112" t="s">
        <v>1130</v>
      </c>
      <c r="D405" s="52" t="s">
        <v>464</v>
      </c>
      <c r="E405" s="107" t="s">
        <v>830</v>
      </c>
      <c r="F405" s="52" t="s">
        <v>105</v>
      </c>
      <c r="G405" s="52" t="s">
        <v>105</v>
      </c>
      <c r="H405" s="52" t="s">
        <v>105</v>
      </c>
      <c r="I405" s="52"/>
      <c r="J405" s="207"/>
      <c r="K405" s="69"/>
    </row>
    <row r="406" spans="1:11" s="65" customFormat="1" ht="21" customHeight="1" thickBot="1">
      <c r="A406" s="299" t="s">
        <v>157</v>
      </c>
      <c r="B406" s="300"/>
      <c r="C406" s="300"/>
      <c r="D406" s="300"/>
      <c r="E406" s="301"/>
      <c r="F406" s="296" t="s">
        <v>87</v>
      </c>
      <c r="G406" s="297"/>
      <c r="H406" s="297"/>
      <c r="I406" s="297"/>
      <c r="J406" s="298"/>
      <c r="K406" s="190">
        <f>SUBTOTAL(3,D407:D411)</f>
        <v>5</v>
      </c>
    </row>
    <row r="407" spans="1:11" s="6" customFormat="1" ht="12.75" customHeight="1">
      <c r="A407" s="122">
        <v>2.325</v>
      </c>
      <c r="B407" s="53" t="s">
        <v>270</v>
      </c>
      <c r="C407" s="35" t="s">
        <v>315</v>
      </c>
      <c r="D407" s="53" t="s">
        <v>157</v>
      </c>
      <c r="E407" s="123" t="s">
        <v>1834</v>
      </c>
      <c r="F407" s="53" t="s">
        <v>105</v>
      </c>
      <c r="G407" s="53" t="s">
        <v>105</v>
      </c>
      <c r="H407" s="53" t="s">
        <v>105</v>
      </c>
      <c r="I407" s="52"/>
      <c r="J407" s="207"/>
      <c r="K407" s="69"/>
    </row>
    <row r="408" spans="1:11" s="6" customFormat="1" ht="12.75" customHeight="1">
      <c r="A408" s="96">
        <v>2.325</v>
      </c>
      <c r="B408" s="52" t="s">
        <v>673</v>
      </c>
      <c r="C408" s="32" t="s">
        <v>315</v>
      </c>
      <c r="D408" s="52" t="s">
        <v>157</v>
      </c>
      <c r="E408" s="99" t="s">
        <v>674</v>
      </c>
      <c r="F408" s="52" t="s">
        <v>105</v>
      </c>
      <c r="G408" s="52" t="s">
        <v>105</v>
      </c>
      <c r="H408" s="52" t="s">
        <v>105</v>
      </c>
      <c r="I408" s="52"/>
      <c r="J408" s="207"/>
      <c r="K408" s="69"/>
    </row>
    <row r="409" spans="1:11" s="6" customFormat="1" ht="12.75" customHeight="1">
      <c r="A409" s="96">
        <v>2.325</v>
      </c>
      <c r="B409" s="52" t="s">
        <v>675</v>
      </c>
      <c r="C409" s="32" t="s">
        <v>315</v>
      </c>
      <c r="D409" s="52" t="s">
        <v>157</v>
      </c>
      <c r="E409" s="99" t="s">
        <v>676</v>
      </c>
      <c r="F409" s="52" t="s">
        <v>105</v>
      </c>
      <c r="G409" s="52" t="s">
        <v>105</v>
      </c>
      <c r="H409" s="52" t="s">
        <v>105</v>
      </c>
      <c r="I409" s="52"/>
      <c r="J409" s="207"/>
      <c r="K409" s="69"/>
    </row>
    <row r="410" spans="1:11" s="6" customFormat="1" ht="12.75" customHeight="1">
      <c r="A410" s="96">
        <v>2.325</v>
      </c>
      <c r="B410" s="52" t="s">
        <v>271</v>
      </c>
      <c r="C410" s="32" t="s">
        <v>315</v>
      </c>
      <c r="D410" s="52" t="s">
        <v>157</v>
      </c>
      <c r="E410" s="99" t="s">
        <v>269</v>
      </c>
      <c r="F410" s="52" t="s">
        <v>105</v>
      </c>
      <c r="G410" s="52" t="s">
        <v>105</v>
      </c>
      <c r="H410" s="52" t="s">
        <v>105</v>
      </c>
      <c r="I410" s="52"/>
      <c r="J410" s="207"/>
      <c r="K410" s="69"/>
    </row>
    <row r="411" spans="1:11" s="65" customFormat="1" ht="12" customHeight="1" thickBot="1">
      <c r="A411" s="96">
        <v>2.325</v>
      </c>
      <c r="B411" s="52" t="s">
        <v>272</v>
      </c>
      <c r="C411" s="32" t="s">
        <v>315</v>
      </c>
      <c r="D411" s="52" t="s">
        <v>157</v>
      </c>
      <c r="E411" s="99" t="s">
        <v>459</v>
      </c>
      <c r="F411" s="52" t="s">
        <v>105</v>
      </c>
      <c r="G411" s="52" t="s">
        <v>105</v>
      </c>
      <c r="H411" s="52" t="s">
        <v>105</v>
      </c>
      <c r="I411" s="52"/>
      <c r="J411" s="207"/>
      <c r="K411" s="69"/>
    </row>
    <row r="412" spans="1:11" s="65" customFormat="1" ht="21" customHeight="1" thickBot="1">
      <c r="A412" s="299" t="s">
        <v>821</v>
      </c>
      <c r="B412" s="300"/>
      <c r="C412" s="300"/>
      <c r="D412" s="300"/>
      <c r="E412" s="301"/>
      <c r="F412" s="296" t="s">
        <v>87</v>
      </c>
      <c r="G412" s="297"/>
      <c r="H412" s="297"/>
      <c r="I412" s="297"/>
      <c r="J412" s="298"/>
      <c r="K412" s="190">
        <f>SUBTOTAL(3,D413:D416)</f>
        <v>4</v>
      </c>
    </row>
    <row r="413" spans="1:11" s="6" customFormat="1" ht="12.75" customHeight="1">
      <c r="A413" s="171">
        <v>2.302</v>
      </c>
      <c r="B413" s="159" t="s">
        <v>1412</v>
      </c>
      <c r="C413" s="37" t="s">
        <v>309</v>
      </c>
      <c r="D413" s="53" t="s">
        <v>821</v>
      </c>
      <c r="E413" s="121" t="s">
        <v>1410</v>
      </c>
      <c r="F413" s="53" t="s">
        <v>105</v>
      </c>
      <c r="G413" s="53" t="s">
        <v>105</v>
      </c>
      <c r="H413" s="53" t="s">
        <v>105</v>
      </c>
      <c r="I413" s="219"/>
      <c r="J413" s="220"/>
      <c r="K413" s="221"/>
    </row>
    <row r="414" spans="1:11" s="6" customFormat="1" ht="12.75" customHeight="1">
      <c r="A414" s="163">
        <v>2.302</v>
      </c>
      <c r="B414" s="164" t="s">
        <v>1413</v>
      </c>
      <c r="C414" s="31" t="s">
        <v>309</v>
      </c>
      <c r="D414" s="52" t="s">
        <v>821</v>
      </c>
      <c r="E414" s="116" t="s">
        <v>1411</v>
      </c>
      <c r="F414" s="52" t="s">
        <v>105</v>
      </c>
      <c r="G414" s="52" t="s">
        <v>105</v>
      </c>
      <c r="H414" s="52" t="s">
        <v>105</v>
      </c>
      <c r="I414" s="66"/>
      <c r="J414" s="209"/>
      <c r="K414" s="70"/>
    </row>
    <row r="415" spans="1:11" s="6" customFormat="1" ht="12.75" customHeight="1">
      <c r="A415" s="163">
        <v>2.302</v>
      </c>
      <c r="B415" s="164" t="s">
        <v>1395</v>
      </c>
      <c r="C415" s="31" t="s">
        <v>309</v>
      </c>
      <c r="D415" s="52" t="s">
        <v>821</v>
      </c>
      <c r="E415" s="116" t="s">
        <v>1397</v>
      </c>
      <c r="F415" s="52" t="s">
        <v>105</v>
      </c>
      <c r="G415" s="52" t="s">
        <v>105</v>
      </c>
      <c r="H415" s="52" t="s">
        <v>105</v>
      </c>
      <c r="I415" s="66"/>
      <c r="J415" s="209"/>
      <c r="K415" s="70"/>
    </row>
    <row r="416" spans="1:11" s="6" customFormat="1" ht="12.75" customHeight="1" thickBot="1">
      <c r="A416" s="163">
        <v>2.302</v>
      </c>
      <c r="B416" s="164" t="s">
        <v>1396</v>
      </c>
      <c r="C416" s="31" t="s">
        <v>309</v>
      </c>
      <c r="D416" s="52" t="s">
        <v>821</v>
      </c>
      <c r="E416" s="116" t="s">
        <v>1398</v>
      </c>
      <c r="F416" s="52" t="s">
        <v>105</v>
      </c>
      <c r="G416" s="52" t="s">
        <v>105</v>
      </c>
      <c r="H416" s="52" t="s">
        <v>105</v>
      </c>
      <c r="I416" s="66"/>
      <c r="J416" s="209"/>
      <c r="K416" s="70"/>
    </row>
    <row r="417" spans="1:11" s="65" customFormat="1" ht="21" customHeight="1" thickBot="1">
      <c r="A417" s="299" t="s">
        <v>55</v>
      </c>
      <c r="B417" s="300"/>
      <c r="C417" s="300"/>
      <c r="D417" s="300"/>
      <c r="E417" s="301"/>
      <c r="F417" s="296" t="s">
        <v>87</v>
      </c>
      <c r="G417" s="297"/>
      <c r="H417" s="297"/>
      <c r="I417" s="297"/>
      <c r="J417" s="298"/>
      <c r="K417" s="190">
        <f>SUBTOTAL(3,D418:D423)</f>
        <v>6</v>
      </c>
    </row>
    <row r="418" spans="1:11" s="6" customFormat="1" ht="12.75" customHeight="1">
      <c r="A418" s="104">
        <v>2.302</v>
      </c>
      <c r="B418" s="52" t="s">
        <v>984</v>
      </c>
      <c r="C418" s="31" t="s">
        <v>309</v>
      </c>
      <c r="D418" s="52" t="s">
        <v>55</v>
      </c>
      <c r="E418" s="99" t="s">
        <v>1179</v>
      </c>
      <c r="F418" s="52" t="s">
        <v>105</v>
      </c>
      <c r="G418" s="52" t="s">
        <v>105</v>
      </c>
      <c r="H418" s="52" t="s">
        <v>105</v>
      </c>
      <c r="I418" s="52"/>
      <c r="J418" s="207"/>
      <c r="K418" s="69"/>
    </row>
    <row r="419" spans="1:11" s="6" customFormat="1" ht="12.75" customHeight="1">
      <c r="A419" s="104">
        <v>2.302</v>
      </c>
      <c r="B419" s="52" t="s">
        <v>1181</v>
      </c>
      <c r="C419" s="31" t="s">
        <v>309</v>
      </c>
      <c r="D419" s="52" t="s">
        <v>55</v>
      </c>
      <c r="E419" s="99" t="s">
        <v>1180</v>
      </c>
      <c r="F419" s="52" t="s">
        <v>105</v>
      </c>
      <c r="G419" s="52" t="s">
        <v>105</v>
      </c>
      <c r="H419" s="52" t="s">
        <v>105</v>
      </c>
      <c r="I419" s="52"/>
      <c r="J419" s="207"/>
      <c r="K419" s="69"/>
    </row>
    <row r="420" spans="1:11" s="6" customFormat="1" ht="12.75" customHeight="1">
      <c r="A420" s="104">
        <v>2.302</v>
      </c>
      <c r="B420" s="156" t="s">
        <v>1723</v>
      </c>
      <c r="C420" s="31" t="s">
        <v>309</v>
      </c>
      <c r="D420" s="52" t="s">
        <v>55</v>
      </c>
      <c r="E420" s="153" t="s">
        <v>1722</v>
      </c>
      <c r="F420" s="52" t="s">
        <v>105</v>
      </c>
      <c r="G420" s="52" t="s">
        <v>105</v>
      </c>
      <c r="H420" s="52" t="s">
        <v>105</v>
      </c>
      <c r="I420" s="52"/>
      <c r="J420" s="207"/>
      <c r="K420" s="69"/>
    </row>
    <row r="421" spans="1:11" s="6" customFormat="1" ht="12.75" customHeight="1">
      <c r="A421" s="104">
        <v>2.302</v>
      </c>
      <c r="B421" s="156" t="s">
        <v>1768</v>
      </c>
      <c r="C421" s="31" t="s">
        <v>309</v>
      </c>
      <c r="D421" s="52" t="s">
        <v>55</v>
      </c>
      <c r="E421" s="111" t="s">
        <v>1767</v>
      </c>
      <c r="F421" s="52" t="s">
        <v>105</v>
      </c>
      <c r="G421" s="52" t="s">
        <v>105</v>
      </c>
      <c r="H421" s="52" t="s">
        <v>105</v>
      </c>
      <c r="I421" s="52"/>
      <c r="J421" s="207"/>
      <c r="K421" s="69"/>
    </row>
    <row r="422" spans="1:11" s="6" customFormat="1" ht="12.75" customHeight="1">
      <c r="A422" s="104">
        <v>2.302</v>
      </c>
      <c r="B422" s="156" t="s">
        <v>1814</v>
      </c>
      <c r="C422" s="31" t="s">
        <v>309</v>
      </c>
      <c r="D422" s="52" t="s">
        <v>55</v>
      </c>
      <c r="E422" s="111" t="s">
        <v>1815</v>
      </c>
      <c r="F422" s="52" t="s">
        <v>105</v>
      </c>
      <c r="G422" s="52" t="s">
        <v>105</v>
      </c>
      <c r="H422" s="52" t="s">
        <v>105</v>
      </c>
      <c r="I422" s="52"/>
      <c r="J422" s="207"/>
      <c r="K422" s="69"/>
    </row>
    <row r="423" spans="1:11" s="6" customFormat="1" ht="12.75" customHeight="1" thickBot="1">
      <c r="A423" s="104">
        <v>2.302</v>
      </c>
      <c r="B423" s="156" t="s">
        <v>1822</v>
      </c>
      <c r="C423" s="31" t="s">
        <v>309</v>
      </c>
      <c r="D423" s="52" t="s">
        <v>55</v>
      </c>
      <c r="E423" s="111" t="s">
        <v>1823</v>
      </c>
      <c r="F423" s="52" t="s">
        <v>105</v>
      </c>
      <c r="G423" s="52" t="s">
        <v>105</v>
      </c>
      <c r="H423" s="52" t="s">
        <v>105</v>
      </c>
      <c r="I423" s="52"/>
      <c r="J423" s="207"/>
      <c r="K423" s="69"/>
    </row>
    <row r="424" spans="1:11" s="64" customFormat="1" ht="21" customHeight="1" thickBot="1">
      <c r="A424" s="299" t="s">
        <v>440</v>
      </c>
      <c r="B424" s="300"/>
      <c r="C424" s="300"/>
      <c r="D424" s="300"/>
      <c r="E424" s="301"/>
      <c r="F424" s="296" t="s">
        <v>87</v>
      </c>
      <c r="G424" s="297"/>
      <c r="H424" s="297"/>
      <c r="I424" s="297"/>
      <c r="J424" s="298"/>
      <c r="K424" s="190">
        <f>SUBTOTAL(3,D425:D425)</f>
        <v>1</v>
      </c>
    </row>
    <row r="425" spans="1:11" s="6" customFormat="1" ht="12.75" customHeight="1" thickBot="1">
      <c r="A425" s="259">
        <v>1.85</v>
      </c>
      <c r="B425" s="162" t="s">
        <v>1289</v>
      </c>
      <c r="C425" s="111" t="s">
        <v>1288</v>
      </c>
      <c r="D425" s="53" t="s">
        <v>440</v>
      </c>
      <c r="E425" s="111" t="s">
        <v>1290</v>
      </c>
      <c r="F425" s="52" t="s">
        <v>105</v>
      </c>
      <c r="G425" s="52" t="s">
        <v>105</v>
      </c>
      <c r="H425" s="52" t="s">
        <v>105</v>
      </c>
      <c r="I425" s="53"/>
      <c r="J425" s="208"/>
      <c r="K425" s="68"/>
    </row>
    <row r="426" spans="1:11" s="65" customFormat="1" ht="21" customHeight="1" thickBot="1">
      <c r="A426" s="299" t="s">
        <v>159</v>
      </c>
      <c r="B426" s="300"/>
      <c r="C426" s="300"/>
      <c r="D426" s="300"/>
      <c r="E426" s="301"/>
      <c r="F426" s="296" t="s">
        <v>87</v>
      </c>
      <c r="G426" s="297"/>
      <c r="H426" s="297"/>
      <c r="I426" s="297"/>
      <c r="J426" s="298"/>
      <c r="K426" s="190">
        <f>SUBTOTAL(3,D427:D439)</f>
        <v>13</v>
      </c>
    </row>
    <row r="427" spans="1:11" s="6" customFormat="1" ht="12.75" customHeight="1">
      <c r="A427" s="152">
        <v>2.125</v>
      </c>
      <c r="B427" s="142" t="s">
        <v>274</v>
      </c>
      <c r="C427" s="148" t="s">
        <v>441</v>
      </c>
      <c r="D427" s="142" t="s">
        <v>159</v>
      </c>
      <c r="E427" s="148" t="s">
        <v>160</v>
      </c>
      <c r="F427" s="142" t="s">
        <v>105</v>
      </c>
      <c r="G427" s="142" t="s">
        <v>105</v>
      </c>
      <c r="H427" s="142" t="s">
        <v>105</v>
      </c>
      <c r="I427" s="142"/>
      <c r="J427" s="206"/>
      <c r="K427" s="143"/>
    </row>
    <row r="428" spans="1:11" s="6" customFormat="1" ht="12.75" customHeight="1">
      <c r="A428" s="163">
        <v>1.18</v>
      </c>
      <c r="B428" s="156" t="s">
        <v>996</v>
      </c>
      <c r="C428" s="112" t="s">
        <v>991</v>
      </c>
      <c r="D428" s="52" t="s">
        <v>159</v>
      </c>
      <c r="E428" s="112" t="s">
        <v>997</v>
      </c>
      <c r="F428" s="52" t="s">
        <v>105</v>
      </c>
      <c r="G428" s="52" t="s">
        <v>105</v>
      </c>
      <c r="H428" s="52" t="s">
        <v>105</v>
      </c>
      <c r="I428" s="52"/>
      <c r="J428" s="207"/>
      <c r="K428" s="69"/>
    </row>
    <row r="429" spans="1:11" s="6" customFormat="1" ht="12.75" customHeight="1">
      <c r="A429" s="163">
        <v>2.302</v>
      </c>
      <c r="B429" s="164" t="s">
        <v>1257</v>
      </c>
      <c r="C429" s="112" t="s">
        <v>309</v>
      </c>
      <c r="D429" s="52" t="s">
        <v>159</v>
      </c>
      <c r="E429" s="112" t="s">
        <v>1258</v>
      </c>
      <c r="F429" s="52" t="s">
        <v>105</v>
      </c>
      <c r="G429" s="52" t="s">
        <v>105</v>
      </c>
      <c r="H429" s="52" t="s">
        <v>105</v>
      </c>
      <c r="I429" s="52"/>
      <c r="J429" s="207"/>
      <c r="K429" s="69"/>
    </row>
    <row r="430" spans="1:11" s="6" customFormat="1" ht="12.75" customHeight="1">
      <c r="A430" s="163">
        <v>2.302</v>
      </c>
      <c r="B430" s="164" t="s">
        <v>1757</v>
      </c>
      <c r="C430" s="112" t="s">
        <v>309</v>
      </c>
      <c r="D430" s="52" t="s">
        <v>159</v>
      </c>
      <c r="E430" s="112" t="s">
        <v>1755</v>
      </c>
      <c r="F430" s="52" t="s">
        <v>105</v>
      </c>
      <c r="G430" s="52" t="s">
        <v>105</v>
      </c>
      <c r="H430" s="52" t="s">
        <v>105</v>
      </c>
      <c r="I430" s="52"/>
      <c r="J430" s="207"/>
      <c r="K430" s="69"/>
    </row>
    <row r="431" spans="1:11" s="6" customFormat="1" ht="12.75" customHeight="1">
      <c r="A431" s="163">
        <v>2.302</v>
      </c>
      <c r="B431" s="164" t="s">
        <v>1758</v>
      </c>
      <c r="C431" s="112" t="s">
        <v>309</v>
      </c>
      <c r="D431" s="52" t="s">
        <v>159</v>
      </c>
      <c r="E431" s="112" t="s">
        <v>1756</v>
      </c>
      <c r="F431" s="52" t="s">
        <v>105</v>
      </c>
      <c r="G431" s="52" t="s">
        <v>105</v>
      </c>
      <c r="H431" s="52" t="s">
        <v>105</v>
      </c>
      <c r="I431" s="52"/>
      <c r="J431" s="207"/>
      <c r="K431" s="69"/>
    </row>
    <row r="432" spans="1:11" s="6" customFormat="1" ht="12.75" customHeight="1">
      <c r="A432" s="163">
        <v>2.302</v>
      </c>
      <c r="B432" s="164" t="s">
        <v>1773</v>
      </c>
      <c r="C432" s="112" t="s">
        <v>309</v>
      </c>
      <c r="D432" s="52" t="s">
        <v>159</v>
      </c>
      <c r="E432" s="112" t="s">
        <v>1774</v>
      </c>
      <c r="F432" s="52" t="s">
        <v>105</v>
      </c>
      <c r="G432" s="52" t="s">
        <v>105</v>
      </c>
      <c r="H432" s="52" t="s">
        <v>105</v>
      </c>
      <c r="I432" s="52"/>
      <c r="J432" s="207"/>
      <c r="K432" s="69"/>
    </row>
    <row r="433" spans="1:11" s="6" customFormat="1" ht="12.75" customHeight="1">
      <c r="A433" s="163">
        <v>2.262</v>
      </c>
      <c r="B433" s="164" t="s">
        <v>1550</v>
      </c>
      <c r="C433" s="112" t="s">
        <v>1552</v>
      </c>
      <c r="D433" s="52" t="s">
        <v>159</v>
      </c>
      <c r="E433" s="112" t="s">
        <v>1551</v>
      </c>
      <c r="F433" s="52" t="s">
        <v>105</v>
      </c>
      <c r="G433" s="52" t="s">
        <v>105</v>
      </c>
      <c r="H433" s="52" t="s">
        <v>105</v>
      </c>
      <c r="I433" s="52"/>
      <c r="J433" s="207"/>
      <c r="K433" s="69"/>
    </row>
    <row r="434" spans="1:11" s="6" customFormat="1" ht="12.75" customHeight="1">
      <c r="A434" s="163">
        <v>2.262</v>
      </c>
      <c r="B434" s="164" t="s">
        <v>1750</v>
      </c>
      <c r="C434" s="112" t="s">
        <v>1552</v>
      </c>
      <c r="D434" s="52" t="s">
        <v>159</v>
      </c>
      <c r="E434" s="112" t="s">
        <v>1749</v>
      </c>
      <c r="F434" s="52" t="s">
        <v>105</v>
      </c>
      <c r="G434" s="52" t="s">
        <v>105</v>
      </c>
      <c r="H434" s="52" t="s">
        <v>105</v>
      </c>
      <c r="I434" s="52"/>
      <c r="J434" s="207"/>
      <c r="K434" s="69"/>
    </row>
    <row r="435" spans="1:11" s="6" customFormat="1" ht="12.75" customHeight="1">
      <c r="A435" s="163">
        <v>2.262</v>
      </c>
      <c r="B435" s="164" t="s">
        <v>1759</v>
      </c>
      <c r="C435" s="112" t="s">
        <v>1552</v>
      </c>
      <c r="D435" s="52" t="s">
        <v>159</v>
      </c>
      <c r="E435" s="112" t="s">
        <v>1760</v>
      </c>
      <c r="F435" s="52" t="s">
        <v>105</v>
      </c>
      <c r="G435" s="52" t="s">
        <v>105</v>
      </c>
      <c r="H435" s="52" t="s">
        <v>105</v>
      </c>
      <c r="I435" s="52"/>
      <c r="J435" s="207"/>
      <c r="K435" s="69"/>
    </row>
    <row r="436" spans="1:11" s="6" customFormat="1" ht="12.75" customHeight="1">
      <c r="A436" s="163">
        <v>2.262</v>
      </c>
      <c r="B436" s="164" t="s">
        <v>1792</v>
      </c>
      <c r="C436" s="112" t="s">
        <v>1552</v>
      </c>
      <c r="D436" s="52" t="s">
        <v>159</v>
      </c>
      <c r="E436" s="112" t="s">
        <v>1793</v>
      </c>
      <c r="F436" s="52" t="s">
        <v>105</v>
      </c>
      <c r="G436" s="52" t="s">
        <v>105</v>
      </c>
      <c r="H436" s="52" t="s">
        <v>105</v>
      </c>
      <c r="I436" s="52"/>
      <c r="J436" s="207"/>
      <c r="K436" s="69"/>
    </row>
    <row r="437" spans="1:11" s="6" customFormat="1" ht="12.75" customHeight="1">
      <c r="A437" s="260">
        <v>2.52</v>
      </c>
      <c r="B437" s="164" t="s">
        <v>1672</v>
      </c>
      <c r="C437" s="112" t="s">
        <v>1669</v>
      </c>
      <c r="D437" s="52" t="s">
        <v>159</v>
      </c>
      <c r="E437" s="112" t="s">
        <v>1670</v>
      </c>
      <c r="F437" s="52" t="s">
        <v>105</v>
      </c>
      <c r="G437" s="52" t="s">
        <v>105</v>
      </c>
      <c r="H437" s="52" t="s">
        <v>105</v>
      </c>
      <c r="I437" s="52"/>
      <c r="J437" s="207"/>
      <c r="K437" s="69"/>
    </row>
    <row r="438" spans="1:11" s="6" customFormat="1" ht="12.75" customHeight="1">
      <c r="A438" s="260">
        <v>2.52</v>
      </c>
      <c r="B438" s="164" t="s">
        <v>1673</v>
      </c>
      <c r="C438" s="112" t="s">
        <v>1669</v>
      </c>
      <c r="D438" s="52" t="s">
        <v>159</v>
      </c>
      <c r="E438" s="112" t="s">
        <v>1671</v>
      </c>
      <c r="F438" s="52" t="s">
        <v>105</v>
      </c>
      <c r="G438" s="52" t="s">
        <v>105</v>
      </c>
      <c r="H438" s="52" t="s">
        <v>105</v>
      </c>
      <c r="I438" s="52"/>
      <c r="J438" s="207"/>
      <c r="K438" s="69"/>
    </row>
    <row r="439" spans="1:11" s="6" customFormat="1" ht="12.75" customHeight="1" thickBot="1">
      <c r="A439" s="260">
        <v>2.52</v>
      </c>
      <c r="B439" s="164" t="s">
        <v>1705</v>
      </c>
      <c r="C439" s="112" t="s">
        <v>1669</v>
      </c>
      <c r="D439" s="52" t="s">
        <v>159</v>
      </c>
      <c r="E439" s="112" t="s">
        <v>1704</v>
      </c>
      <c r="F439" s="52" t="s">
        <v>105</v>
      </c>
      <c r="G439" s="52" t="s">
        <v>105</v>
      </c>
      <c r="H439" s="52" t="s">
        <v>105</v>
      </c>
      <c r="I439" s="52"/>
      <c r="J439" s="207"/>
      <c r="K439" s="69"/>
    </row>
    <row r="440" spans="1:11" s="65" customFormat="1" ht="21" customHeight="1" thickBot="1">
      <c r="A440" s="299" t="s">
        <v>161</v>
      </c>
      <c r="B440" s="300"/>
      <c r="C440" s="300"/>
      <c r="D440" s="300"/>
      <c r="E440" s="301"/>
      <c r="F440" s="296" t="s">
        <v>87</v>
      </c>
      <c r="G440" s="297"/>
      <c r="H440" s="297"/>
      <c r="I440" s="297"/>
      <c r="J440" s="298"/>
      <c r="K440" s="190">
        <f>SUBTOTAL(3,D441:D469)</f>
        <v>29</v>
      </c>
    </row>
    <row r="441" spans="1:11" s="6" customFormat="1" ht="12.75" customHeight="1">
      <c r="A441" s="104">
        <v>2.42</v>
      </c>
      <c r="B441" s="105" t="s">
        <v>275</v>
      </c>
      <c r="C441" s="32" t="s">
        <v>1131</v>
      </c>
      <c r="D441" s="52" t="s">
        <v>161</v>
      </c>
      <c r="E441" s="107" t="s">
        <v>572</v>
      </c>
      <c r="F441" s="52" t="s">
        <v>105</v>
      </c>
      <c r="G441" s="52" t="s">
        <v>105</v>
      </c>
      <c r="H441" s="52" t="s">
        <v>105</v>
      </c>
      <c r="I441" s="52"/>
      <c r="J441" s="207"/>
      <c r="K441" s="69"/>
    </row>
    <row r="442" spans="1:11" s="6" customFormat="1" ht="12.75">
      <c r="A442" s="104">
        <v>2.149</v>
      </c>
      <c r="B442" s="105" t="s">
        <v>276</v>
      </c>
      <c r="C442" s="32" t="s">
        <v>470</v>
      </c>
      <c r="D442" s="52" t="s">
        <v>161</v>
      </c>
      <c r="E442" s="107" t="s">
        <v>573</v>
      </c>
      <c r="F442" s="52" t="s">
        <v>105</v>
      </c>
      <c r="G442" s="52" t="s">
        <v>105</v>
      </c>
      <c r="H442" s="52" t="s">
        <v>105</v>
      </c>
      <c r="I442" s="52"/>
      <c r="J442" s="207"/>
      <c r="K442" s="69"/>
    </row>
    <row r="443" spans="1:11" s="6" customFormat="1" ht="12.75">
      <c r="A443" s="104">
        <v>2.149</v>
      </c>
      <c r="B443" s="105" t="s">
        <v>1025</v>
      </c>
      <c r="C443" s="32" t="s">
        <v>470</v>
      </c>
      <c r="D443" s="52" t="s">
        <v>161</v>
      </c>
      <c r="E443" s="107" t="s">
        <v>1026</v>
      </c>
      <c r="F443" s="52" t="s">
        <v>105</v>
      </c>
      <c r="G443" s="52" t="s">
        <v>105</v>
      </c>
      <c r="H443" s="52" t="s">
        <v>105</v>
      </c>
      <c r="I443" s="52"/>
      <c r="J443" s="207"/>
      <c r="K443" s="69"/>
    </row>
    <row r="444" spans="1:11" s="89" customFormat="1" ht="12.75">
      <c r="A444" s="177">
        <v>2.118</v>
      </c>
      <c r="B444" s="105" t="s">
        <v>1547</v>
      </c>
      <c r="C444" s="32" t="s">
        <v>1549</v>
      </c>
      <c r="D444" s="106" t="s">
        <v>161</v>
      </c>
      <c r="E444" s="107" t="s">
        <v>1548</v>
      </c>
      <c r="F444" s="52" t="s">
        <v>105</v>
      </c>
      <c r="G444" s="52" t="s">
        <v>105</v>
      </c>
      <c r="H444" s="52" t="s">
        <v>105</v>
      </c>
      <c r="I444" s="106"/>
      <c r="J444" s="214"/>
      <c r="K444" s="126"/>
    </row>
    <row r="445" spans="1:11" s="89" customFormat="1" ht="12.75">
      <c r="A445" s="177">
        <v>2.304</v>
      </c>
      <c r="B445" s="105" t="s">
        <v>1496</v>
      </c>
      <c r="C445" s="32" t="s">
        <v>785</v>
      </c>
      <c r="D445" s="52" t="s">
        <v>161</v>
      </c>
      <c r="E445" s="107" t="s">
        <v>1497</v>
      </c>
      <c r="F445" s="52" t="s">
        <v>105</v>
      </c>
      <c r="G445" s="52" t="s">
        <v>105</v>
      </c>
      <c r="H445" s="52" t="s">
        <v>105</v>
      </c>
      <c r="I445" s="106"/>
      <c r="J445" s="214"/>
      <c r="K445" s="126"/>
    </row>
    <row r="446" spans="1:11" s="89" customFormat="1" ht="12.75">
      <c r="A446" s="177">
        <v>2.304</v>
      </c>
      <c r="B446" s="105" t="s">
        <v>1329</v>
      </c>
      <c r="C446" s="32" t="s">
        <v>785</v>
      </c>
      <c r="D446" s="52" t="s">
        <v>161</v>
      </c>
      <c r="E446" s="107" t="s">
        <v>1330</v>
      </c>
      <c r="F446" s="52" t="s">
        <v>105</v>
      </c>
      <c r="G446" s="52" t="s">
        <v>105</v>
      </c>
      <c r="H446" s="52" t="s">
        <v>105</v>
      </c>
      <c r="I446" s="106"/>
      <c r="J446" s="214"/>
      <c r="K446" s="126"/>
    </row>
    <row r="447" spans="1:11" s="89" customFormat="1" ht="12.75">
      <c r="A447" s="177">
        <v>2.304</v>
      </c>
      <c r="B447" s="105" t="s">
        <v>1320</v>
      </c>
      <c r="C447" s="32" t="s">
        <v>785</v>
      </c>
      <c r="D447" s="52" t="s">
        <v>161</v>
      </c>
      <c r="E447" s="107" t="s">
        <v>1321</v>
      </c>
      <c r="F447" s="52" t="s">
        <v>105</v>
      </c>
      <c r="G447" s="52" t="s">
        <v>105</v>
      </c>
      <c r="H447" s="52" t="s">
        <v>105</v>
      </c>
      <c r="I447" s="106"/>
      <c r="J447" s="214"/>
      <c r="K447" s="126"/>
    </row>
    <row r="448" spans="1:11" s="6" customFormat="1" ht="12.75" customHeight="1">
      <c r="A448" s="104">
        <v>2.304</v>
      </c>
      <c r="B448" s="105" t="s">
        <v>277</v>
      </c>
      <c r="C448" s="32" t="s">
        <v>785</v>
      </c>
      <c r="D448" s="52" t="s">
        <v>161</v>
      </c>
      <c r="E448" s="107" t="s">
        <v>574</v>
      </c>
      <c r="F448" s="52" t="s">
        <v>105</v>
      </c>
      <c r="G448" s="52" t="s">
        <v>105</v>
      </c>
      <c r="H448" s="52" t="s">
        <v>105</v>
      </c>
      <c r="I448" s="52"/>
      <c r="J448" s="207"/>
      <c r="K448" s="69" t="s">
        <v>105</v>
      </c>
    </row>
    <row r="449" spans="1:11" s="6" customFormat="1" ht="12.75">
      <c r="A449" s="104">
        <v>2.304</v>
      </c>
      <c r="B449" s="105" t="s">
        <v>278</v>
      </c>
      <c r="C449" s="32" t="s">
        <v>785</v>
      </c>
      <c r="D449" s="52" t="s">
        <v>161</v>
      </c>
      <c r="E449" s="107" t="s">
        <v>575</v>
      </c>
      <c r="F449" s="52" t="s">
        <v>105</v>
      </c>
      <c r="G449" s="52" t="s">
        <v>105</v>
      </c>
      <c r="H449" s="52" t="s">
        <v>105</v>
      </c>
      <c r="I449" s="52"/>
      <c r="J449" s="207"/>
      <c r="K449" s="69"/>
    </row>
    <row r="450" spans="1:11" s="6" customFormat="1" ht="12.75" customHeight="1">
      <c r="A450" s="104">
        <v>2.304</v>
      </c>
      <c r="B450" s="105" t="s">
        <v>279</v>
      </c>
      <c r="C450" s="32" t="s">
        <v>785</v>
      </c>
      <c r="D450" s="52" t="s">
        <v>161</v>
      </c>
      <c r="E450" s="107" t="s">
        <v>576</v>
      </c>
      <c r="F450" s="52" t="s">
        <v>105</v>
      </c>
      <c r="G450" s="52" t="s">
        <v>105</v>
      </c>
      <c r="H450" s="52" t="s">
        <v>105</v>
      </c>
      <c r="I450" s="52"/>
      <c r="J450" s="207"/>
      <c r="K450" s="69"/>
    </row>
    <row r="451" spans="1:11" s="6" customFormat="1" ht="12.75" customHeight="1">
      <c r="A451" s="104">
        <v>2.304</v>
      </c>
      <c r="B451" s="105" t="s">
        <v>280</v>
      </c>
      <c r="C451" s="32" t="s">
        <v>785</v>
      </c>
      <c r="D451" s="52" t="s">
        <v>161</v>
      </c>
      <c r="E451" s="107" t="s">
        <v>577</v>
      </c>
      <c r="F451" s="52" t="s">
        <v>105</v>
      </c>
      <c r="G451" s="52" t="s">
        <v>105</v>
      </c>
      <c r="H451" s="52" t="s">
        <v>105</v>
      </c>
      <c r="I451" s="52"/>
      <c r="J451" s="207"/>
      <c r="K451" s="69" t="s">
        <v>105</v>
      </c>
    </row>
    <row r="452" spans="1:11" s="6" customFormat="1" ht="12.75" customHeight="1">
      <c r="A452" s="104">
        <v>2.304</v>
      </c>
      <c r="B452" s="105" t="s">
        <v>281</v>
      </c>
      <c r="C452" s="32" t="s">
        <v>785</v>
      </c>
      <c r="D452" s="52" t="s">
        <v>161</v>
      </c>
      <c r="E452" s="107" t="s">
        <v>578</v>
      </c>
      <c r="F452" s="52" t="s">
        <v>105</v>
      </c>
      <c r="G452" s="52" t="s">
        <v>105</v>
      </c>
      <c r="H452" s="52" t="s">
        <v>105</v>
      </c>
      <c r="I452" s="52"/>
      <c r="J452" s="207"/>
      <c r="K452" s="69"/>
    </row>
    <row r="453" spans="1:11" s="6" customFormat="1" ht="12.75" customHeight="1">
      <c r="A453" s="104">
        <v>2.304</v>
      </c>
      <c r="B453" s="105" t="s">
        <v>282</v>
      </c>
      <c r="C453" s="32" t="s">
        <v>785</v>
      </c>
      <c r="D453" s="52" t="s">
        <v>161</v>
      </c>
      <c r="E453" s="107" t="s">
        <v>640</v>
      </c>
      <c r="F453" s="52" t="s">
        <v>105</v>
      </c>
      <c r="G453" s="52" t="s">
        <v>105</v>
      </c>
      <c r="H453" s="52" t="s">
        <v>105</v>
      </c>
      <c r="I453" s="52"/>
      <c r="J453" s="207"/>
      <c r="K453" s="69"/>
    </row>
    <row r="454" spans="1:11" s="6" customFormat="1" ht="12.75" customHeight="1">
      <c r="A454" s="104">
        <v>2.304</v>
      </c>
      <c r="B454" s="105" t="s">
        <v>283</v>
      </c>
      <c r="C454" s="32" t="s">
        <v>785</v>
      </c>
      <c r="D454" s="52" t="s">
        <v>161</v>
      </c>
      <c r="E454" s="107" t="s">
        <v>579</v>
      </c>
      <c r="F454" s="52" t="s">
        <v>105</v>
      </c>
      <c r="G454" s="52" t="s">
        <v>105</v>
      </c>
      <c r="H454" s="52" t="s">
        <v>105</v>
      </c>
      <c r="I454" s="52"/>
      <c r="J454" s="207"/>
      <c r="K454" s="69"/>
    </row>
    <row r="455" spans="1:11" s="6" customFormat="1" ht="12.75">
      <c r="A455" s="104">
        <v>2.304</v>
      </c>
      <c r="B455" s="105" t="s">
        <v>286</v>
      </c>
      <c r="C455" s="32" t="s">
        <v>785</v>
      </c>
      <c r="D455" s="52" t="s">
        <v>161</v>
      </c>
      <c r="E455" s="107" t="s">
        <v>581</v>
      </c>
      <c r="F455" s="52" t="s">
        <v>105</v>
      </c>
      <c r="G455" s="52" t="s">
        <v>105</v>
      </c>
      <c r="H455" s="52" t="s">
        <v>105</v>
      </c>
      <c r="I455" s="52"/>
      <c r="J455" s="207"/>
      <c r="K455" s="69"/>
    </row>
    <row r="456" spans="1:11" s="6" customFormat="1" ht="12.75">
      <c r="A456" s="104">
        <v>2.304</v>
      </c>
      <c r="B456" s="105" t="s">
        <v>287</v>
      </c>
      <c r="C456" s="32" t="s">
        <v>785</v>
      </c>
      <c r="D456" s="52" t="s">
        <v>161</v>
      </c>
      <c r="E456" s="107" t="s">
        <v>582</v>
      </c>
      <c r="F456" s="52" t="s">
        <v>105</v>
      </c>
      <c r="G456" s="52" t="s">
        <v>105</v>
      </c>
      <c r="H456" s="52" t="s">
        <v>105</v>
      </c>
      <c r="I456" s="52"/>
      <c r="J456" s="207"/>
      <c r="K456" s="69"/>
    </row>
    <row r="457" spans="1:11" s="6" customFormat="1" ht="12.75">
      <c r="A457" s="104">
        <v>2.304</v>
      </c>
      <c r="B457" s="105" t="s">
        <v>461</v>
      </c>
      <c r="C457" s="32" t="s">
        <v>785</v>
      </c>
      <c r="D457" s="52" t="s">
        <v>161</v>
      </c>
      <c r="E457" s="107" t="s">
        <v>583</v>
      </c>
      <c r="F457" s="52" t="s">
        <v>105</v>
      </c>
      <c r="G457" s="52" t="s">
        <v>105</v>
      </c>
      <c r="H457" s="52" t="s">
        <v>105</v>
      </c>
      <c r="I457" s="52"/>
      <c r="J457" s="207"/>
      <c r="K457" s="69"/>
    </row>
    <row r="458" spans="1:11" s="6" customFormat="1" ht="12.75">
      <c r="A458" s="104">
        <v>2.304</v>
      </c>
      <c r="B458" s="105" t="s">
        <v>1214</v>
      </c>
      <c r="C458" s="32" t="s">
        <v>785</v>
      </c>
      <c r="D458" s="52" t="s">
        <v>161</v>
      </c>
      <c r="E458" s="107" t="s">
        <v>1215</v>
      </c>
      <c r="F458" s="52" t="s">
        <v>105</v>
      </c>
      <c r="G458" s="52" t="s">
        <v>105</v>
      </c>
      <c r="H458" s="52" t="s">
        <v>105</v>
      </c>
      <c r="I458" s="52"/>
      <c r="J458" s="207"/>
      <c r="K458" s="69"/>
    </row>
    <row r="459" spans="1:11" s="6" customFormat="1" ht="12.75">
      <c r="A459" s="104">
        <v>2.304</v>
      </c>
      <c r="B459" s="105" t="s">
        <v>284</v>
      </c>
      <c r="C459" s="32" t="s">
        <v>785</v>
      </c>
      <c r="D459" s="52" t="s">
        <v>161</v>
      </c>
      <c r="E459" s="107" t="s">
        <v>1711</v>
      </c>
      <c r="F459" s="52" t="s">
        <v>105</v>
      </c>
      <c r="G459" s="52" t="s">
        <v>105</v>
      </c>
      <c r="H459" s="52" t="s">
        <v>105</v>
      </c>
      <c r="I459" s="52"/>
      <c r="J459" s="207"/>
      <c r="K459" s="69"/>
    </row>
    <row r="460" spans="1:11" s="6" customFormat="1" ht="12.75">
      <c r="A460" s="104">
        <v>2.326</v>
      </c>
      <c r="B460" s="105" t="s">
        <v>1218</v>
      </c>
      <c r="C460" s="32" t="s">
        <v>442</v>
      </c>
      <c r="D460" s="52" t="s">
        <v>161</v>
      </c>
      <c r="E460" s="107" t="s">
        <v>1219</v>
      </c>
      <c r="F460" s="52" t="s">
        <v>105</v>
      </c>
      <c r="G460" s="52" t="s">
        <v>105</v>
      </c>
      <c r="H460" s="52" t="s">
        <v>105</v>
      </c>
      <c r="I460" s="52"/>
      <c r="J460" s="207"/>
      <c r="K460" s="69"/>
    </row>
    <row r="461" spans="1:11" s="6" customFormat="1" ht="12.75">
      <c r="A461" s="104">
        <v>2.326</v>
      </c>
      <c r="B461" s="105" t="s">
        <v>1083</v>
      </c>
      <c r="C461" s="32" t="s">
        <v>442</v>
      </c>
      <c r="D461" s="52" t="s">
        <v>161</v>
      </c>
      <c r="E461" s="107" t="s">
        <v>1084</v>
      </c>
      <c r="F461" s="52" t="s">
        <v>105</v>
      </c>
      <c r="G461" s="52" t="s">
        <v>105</v>
      </c>
      <c r="H461" s="52" t="s">
        <v>105</v>
      </c>
      <c r="I461" s="52"/>
      <c r="J461" s="207"/>
      <c r="K461" s="69"/>
    </row>
    <row r="462" spans="1:11" s="6" customFormat="1" ht="12.75" customHeight="1">
      <c r="A462" s="104">
        <v>2.326</v>
      </c>
      <c r="B462" s="105" t="s">
        <v>285</v>
      </c>
      <c r="C462" s="32" t="s">
        <v>442</v>
      </c>
      <c r="D462" s="52" t="s">
        <v>161</v>
      </c>
      <c r="E462" s="107" t="s">
        <v>580</v>
      </c>
      <c r="F462" s="52" t="s">
        <v>105</v>
      </c>
      <c r="G462" s="52" t="s">
        <v>105</v>
      </c>
      <c r="H462" s="52" t="s">
        <v>105</v>
      </c>
      <c r="I462" s="52"/>
      <c r="J462" s="207"/>
      <c r="K462" s="69"/>
    </row>
    <row r="463" spans="1:11" s="6" customFormat="1" ht="12.75">
      <c r="A463" s="104">
        <v>2.326</v>
      </c>
      <c r="B463" s="105" t="s">
        <v>288</v>
      </c>
      <c r="C463" s="32" t="s">
        <v>442</v>
      </c>
      <c r="D463" s="52" t="s">
        <v>161</v>
      </c>
      <c r="E463" s="107" t="s">
        <v>584</v>
      </c>
      <c r="F463" s="52" t="s">
        <v>105</v>
      </c>
      <c r="G463" s="52" t="s">
        <v>105</v>
      </c>
      <c r="H463" s="52" t="s">
        <v>105</v>
      </c>
      <c r="I463" s="52"/>
      <c r="J463" s="207"/>
      <c r="K463" s="69"/>
    </row>
    <row r="464" spans="1:11" s="6" customFormat="1" ht="12.75">
      <c r="A464" s="104">
        <v>2.326</v>
      </c>
      <c r="B464" s="105" t="s">
        <v>1208</v>
      </c>
      <c r="C464" s="32" t="s">
        <v>442</v>
      </c>
      <c r="D464" s="52" t="s">
        <v>161</v>
      </c>
      <c r="E464" s="107" t="s">
        <v>1209</v>
      </c>
      <c r="F464" s="52" t="s">
        <v>105</v>
      </c>
      <c r="G464" s="52" t="s">
        <v>105</v>
      </c>
      <c r="H464" s="52" t="s">
        <v>105</v>
      </c>
      <c r="I464" s="52"/>
      <c r="J464" s="207"/>
      <c r="K464" s="69"/>
    </row>
    <row r="465" spans="1:11" s="89" customFormat="1" ht="12.75">
      <c r="A465" s="104">
        <v>2.326</v>
      </c>
      <c r="B465" s="105" t="s">
        <v>1678</v>
      </c>
      <c r="C465" s="32" t="s">
        <v>442</v>
      </c>
      <c r="D465" s="52" t="s">
        <v>161</v>
      </c>
      <c r="E465" s="107" t="s">
        <v>1679</v>
      </c>
      <c r="F465" s="52" t="s">
        <v>105</v>
      </c>
      <c r="G465" s="52" t="s">
        <v>105</v>
      </c>
      <c r="H465" s="52" t="s">
        <v>105</v>
      </c>
      <c r="I465" s="52"/>
      <c r="J465" s="207"/>
      <c r="K465" s="69"/>
    </row>
    <row r="466" spans="1:11" s="6" customFormat="1" ht="12.75">
      <c r="A466" s="104">
        <v>2.348</v>
      </c>
      <c r="B466" s="105" t="s">
        <v>465</v>
      </c>
      <c r="C466" s="32" t="s">
        <v>1134</v>
      </c>
      <c r="D466" s="52" t="s">
        <v>161</v>
      </c>
      <c r="E466" s="107" t="s">
        <v>585</v>
      </c>
      <c r="F466" s="52" t="s">
        <v>105</v>
      </c>
      <c r="G466" s="52" t="s">
        <v>105</v>
      </c>
      <c r="H466" s="52" t="s">
        <v>105</v>
      </c>
      <c r="I466" s="52"/>
      <c r="J466" s="207"/>
      <c r="K466" s="69"/>
    </row>
    <row r="467" spans="1:11" s="6" customFormat="1" ht="12.75">
      <c r="A467" s="104">
        <v>2.348</v>
      </c>
      <c r="B467" s="105" t="s">
        <v>466</v>
      </c>
      <c r="C467" s="32" t="s">
        <v>1134</v>
      </c>
      <c r="D467" s="52" t="s">
        <v>161</v>
      </c>
      <c r="E467" s="107" t="s">
        <v>586</v>
      </c>
      <c r="F467" s="52" t="s">
        <v>105</v>
      </c>
      <c r="G467" s="52" t="s">
        <v>105</v>
      </c>
      <c r="H467" s="52" t="s">
        <v>105</v>
      </c>
      <c r="I467" s="52"/>
      <c r="J467" s="207"/>
      <c r="K467" s="69"/>
    </row>
    <row r="468" spans="1:11" s="6" customFormat="1" ht="12.75">
      <c r="A468" s="104">
        <v>2.348</v>
      </c>
      <c r="B468" s="105" t="s">
        <v>467</v>
      </c>
      <c r="C468" s="32" t="s">
        <v>1134</v>
      </c>
      <c r="D468" s="52" t="s">
        <v>161</v>
      </c>
      <c r="E468" s="107" t="s">
        <v>587</v>
      </c>
      <c r="F468" s="52" t="s">
        <v>105</v>
      </c>
      <c r="G468" s="52" t="s">
        <v>105</v>
      </c>
      <c r="H468" s="52" t="s">
        <v>105</v>
      </c>
      <c r="I468" s="52"/>
      <c r="J468" s="207"/>
      <c r="K468" s="69"/>
    </row>
    <row r="469" spans="1:11" s="6" customFormat="1" ht="13.5" thickBot="1">
      <c r="A469" s="104">
        <v>2.348</v>
      </c>
      <c r="B469" s="105" t="s">
        <v>468</v>
      </c>
      <c r="C469" s="32" t="s">
        <v>1134</v>
      </c>
      <c r="D469" s="52" t="s">
        <v>161</v>
      </c>
      <c r="E469" s="107" t="s">
        <v>641</v>
      </c>
      <c r="F469" s="52" t="s">
        <v>105</v>
      </c>
      <c r="G469" s="52" t="s">
        <v>105</v>
      </c>
      <c r="H469" s="52" t="s">
        <v>105</v>
      </c>
      <c r="I469" s="52"/>
      <c r="J469" s="207"/>
      <c r="K469" s="69"/>
    </row>
    <row r="470" spans="1:11" s="67" customFormat="1" ht="21" customHeight="1" thickBot="1">
      <c r="A470" s="299" t="s">
        <v>1322</v>
      </c>
      <c r="B470" s="300"/>
      <c r="C470" s="300"/>
      <c r="D470" s="300"/>
      <c r="E470" s="301"/>
      <c r="F470" s="296" t="s">
        <v>87</v>
      </c>
      <c r="G470" s="297"/>
      <c r="H470" s="297"/>
      <c r="I470" s="297"/>
      <c r="J470" s="298"/>
      <c r="K470" s="190">
        <f>SUBTOTAL(3,D471:D479)</f>
        <v>9</v>
      </c>
    </row>
    <row r="471" spans="1:11" s="43" customFormat="1" ht="12.75" customHeight="1">
      <c r="A471" s="122">
        <v>2.41</v>
      </c>
      <c r="B471" s="53" t="s">
        <v>291</v>
      </c>
      <c r="C471" s="35" t="s">
        <v>443</v>
      </c>
      <c r="D471" s="53" t="s">
        <v>1322</v>
      </c>
      <c r="E471" s="123" t="s">
        <v>289</v>
      </c>
      <c r="F471" s="53" t="s">
        <v>105</v>
      </c>
      <c r="G471" s="53" t="s">
        <v>105</v>
      </c>
      <c r="H471" s="53" t="s">
        <v>105</v>
      </c>
      <c r="I471" s="53"/>
      <c r="J471" s="208"/>
      <c r="K471" s="68"/>
    </row>
    <row r="472" spans="1:11" s="43" customFormat="1" ht="13.5" customHeight="1">
      <c r="A472" s="96">
        <v>2.41</v>
      </c>
      <c r="B472" s="52" t="s">
        <v>292</v>
      </c>
      <c r="C472" s="32" t="s">
        <v>443</v>
      </c>
      <c r="D472" s="53" t="s">
        <v>1322</v>
      </c>
      <c r="E472" s="99" t="s">
        <v>290</v>
      </c>
      <c r="F472" s="52" t="s">
        <v>105</v>
      </c>
      <c r="G472" s="52" t="s">
        <v>105</v>
      </c>
      <c r="H472" s="52" t="s">
        <v>105</v>
      </c>
      <c r="I472" s="52"/>
      <c r="J472" s="207"/>
      <c r="K472" s="69"/>
    </row>
    <row r="473" spans="1:11" s="43" customFormat="1" ht="13.5" customHeight="1">
      <c r="A473" s="122">
        <v>2.394</v>
      </c>
      <c r="B473" s="53" t="s">
        <v>1486</v>
      </c>
      <c r="C473" s="33" t="s">
        <v>1886</v>
      </c>
      <c r="D473" s="53" t="s">
        <v>1322</v>
      </c>
      <c r="E473" s="123" t="s">
        <v>1487</v>
      </c>
      <c r="F473" s="52" t="s">
        <v>105</v>
      </c>
      <c r="G473" s="52" t="s">
        <v>105</v>
      </c>
      <c r="H473" s="52" t="s">
        <v>105</v>
      </c>
      <c r="I473" s="53"/>
      <c r="J473" s="208"/>
      <c r="K473" s="68"/>
    </row>
    <row r="474" spans="1:11" s="43" customFormat="1" ht="13.5" customHeight="1">
      <c r="A474" s="122">
        <v>2.394</v>
      </c>
      <c r="B474" s="53" t="s">
        <v>1494</v>
      </c>
      <c r="C474" s="33" t="s">
        <v>1886</v>
      </c>
      <c r="D474" s="53" t="s">
        <v>1322</v>
      </c>
      <c r="E474" s="123" t="s">
        <v>1492</v>
      </c>
      <c r="F474" s="52" t="s">
        <v>105</v>
      </c>
      <c r="G474" s="52" t="s">
        <v>105</v>
      </c>
      <c r="H474" s="52" t="s">
        <v>105</v>
      </c>
      <c r="I474" s="53"/>
      <c r="J474" s="208"/>
      <c r="K474" s="68"/>
    </row>
    <row r="475" spans="1:11" s="43" customFormat="1" ht="13.5" customHeight="1">
      <c r="A475" s="122">
        <v>2.394</v>
      </c>
      <c r="B475" s="53" t="s">
        <v>1495</v>
      </c>
      <c r="C475" s="33" t="s">
        <v>1886</v>
      </c>
      <c r="D475" s="53" t="s">
        <v>1322</v>
      </c>
      <c r="E475" s="123" t="s">
        <v>1493</v>
      </c>
      <c r="F475" s="52" t="s">
        <v>105</v>
      </c>
      <c r="G475" s="52" t="s">
        <v>105</v>
      </c>
      <c r="H475" s="52" t="s">
        <v>105</v>
      </c>
      <c r="I475" s="53"/>
      <c r="J475" s="208"/>
      <c r="K475" s="68"/>
    </row>
    <row r="476" spans="1:11" s="43" customFormat="1" ht="13.5" customHeight="1">
      <c r="A476" s="122">
        <v>2.394</v>
      </c>
      <c r="B476" s="53" t="s">
        <v>1501</v>
      </c>
      <c r="C476" s="33" t="s">
        <v>1886</v>
      </c>
      <c r="D476" s="53" t="s">
        <v>1322</v>
      </c>
      <c r="E476" s="123" t="s">
        <v>1500</v>
      </c>
      <c r="F476" s="52" t="s">
        <v>105</v>
      </c>
      <c r="G476" s="52" t="s">
        <v>105</v>
      </c>
      <c r="H476" s="52" t="s">
        <v>105</v>
      </c>
      <c r="I476" s="53"/>
      <c r="J476" s="208"/>
      <c r="K476" s="68"/>
    </row>
    <row r="477" spans="1:11" s="43" customFormat="1" ht="13.5" customHeight="1">
      <c r="A477" s="122">
        <v>2.394</v>
      </c>
      <c r="B477" s="53" t="s">
        <v>1528</v>
      </c>
      <c r="C477" s="33" t="s">
        <v>1886</v>
      </c>
      <c r="D477" s="53" t="s">
        <v>1322</v>
      </c>
      <c r="E477" s="123" t="s">
        <v>1527</v>
      </c>
      <c r="F477" s="52" t="s">
        <v>105</v>
      </c>
      <c r="G477" s="52" t="s">
        <v>105</v>
      </c>
      <c r="H477" s="52" t="s">
        <v>105</v>
      </c>
      <c r="I477" s="53"/>
      <c r="J477" s="208"/>
      <c r="K477" s="68"/>
    </row>
    <row r="478" spans="1:11" s="43" customFormat="1" ht="13.5" customHeight="1">
      <c r="A478" s="122">
        <v>2.394</v>
      </c>
      <c r="B478" s="53" t="s">
        <v>1570</v>
      </c>
      <c r="C478" s="33" t="s">
        <v>1886</v>
      </c>
      <c r="D478" s="53" t="s">
        <v>1322</v>
      </c>
      <c r="E478" s="123" t="s">
        <v>1569</v>
      </c>
      <c r="F478" s="52" t="s">
        <v>105</v>
      </c>
      <c r="G478" s="52" t="s">
        <v>105</v>
      </c>
      <c r="H478" s="52" t="s">
        <v>105</v>
      </c>
      <c r="I478" s="53"/>
      <c r="J478" s="208"/>
      <c r="K478" s="68"/>
    </row>
    <row r="479" spans="1:11" s="43" customFormat="1" ht="13.5" customHeight="1" thickBot="1">
      <c r="A479" s="122">
        <v>2.394</v>
      </c>
      <c r="B479" s="53" t="s">
        <v>1633</v>
      </c>
      <c r="C479" s="33" t="s">
        <v>1886</v>
      </c>
      <c r="D479" s="53" t="s">
        <v>1322</v>
      </c>
      <c r="E479" s="123" t="s">
        <v>1634</v>
      </c>
      <c r="F479" s="52" t="s">
        <v>105</v>
      </c>
      <c r="G479" s="52" t="s">
        <v>105</v>
      </c>
      <c r="H479" s="52" t="s">
        <v>105</v>
      </c>
      <c r="I479" s="53"/>
      <c r="J479" s="208"/>
      <c r="K479" s="68"/>
    </row>
    <row r="480" spans="1:11" s="65" customFormat="1" ht="21" customHeight="1" thickBot="1">
      <c r="A480" s="299" t="s">
        <v>162</v>
      </c>
      <c r="B480" s="300"/>
      <c r="C480" s="300"/>
      <c r="D480" s="300"/>
      <c r="E480" s="301"/>
      <c r="F480" s="296" t="s">
        <v>87</v>
      </c>
      <c r="G480" s="297"/>
      <c r="H480" s="297"/>
      <c r="I480" s="297"/>
      <c r="J480" s="298"/>
      <c r="K480" s="190">
        <f>SUBTOTAL(3,D481:D509)</f>
        <v>29</v>
      </c>
    </row>
    <row r="481" spans="1:11" s="6" customFormat="1" ht="12.75" customHeight="1">
      <c r="A481" s="100">
        <v>2.221</v>
      </c>
      <c r="B481" s="101" t="s">
        <v>305</v>
      </c>
      <c r="C481" s="37" t="s">
        <v>445</v>
      </c>
      <c r="D481" s="102" t="s">
        <v>162</v>
      </c>
      <c r="E481" s="103" t="s">
        <v>589</v>
      </c>
      <c r="F481" s="53" t="s">
        <v>105</v>
      </c>
      <c r="G481" s="53" t="s">
        <v>105</v>
      </c>
      <c r="H481" s="53" t="s">
        <v>105</v>
      </c>
      <c r="I481" s="53"/>
      <c r="J481" s="208"/>
      <c r="K481" s="68"/>
    </row>
    <row r="482" spans="1:11" s="6" customFormat="1" ht="12.75" customHeight="1">
      <c r="A482" s="104">
        <v>2.221</v>
      </c>
      <c r="B482" s="105" t="s">
        <v>294</v>
      </c>
      <c r="C482" s="37" t="s">
        <v>445</v>
      </c>
      <c r="D482" s="106" t="s">
        <v>162</v>
      </c>
      <c r="E482" s="107" t="s">
        <v>590</v>
      </c>
      <c r="F482" s="52" t="s">
        <v>105</v>
      </c>
      <c r="G482" s="52" t="s">
        <v>105</v>
      </c>
      <c r="H482" s="52" t="s">
        <v>105</v>
      </c>
      <c r="I482" s="52"/>
      <c r="J482" s="207"/>
      <c r="K482" s="69"/>
    </row>
    <row r="483" spans="1:11" s="6" customFormat="1" ht="12.75" customHeight="1">
      <c r="A483" s="104">
        <v>2.221</v>
      </c>
      <c r="B483" s="105" t="s">
        <v>295</v>
      </c>
      <c r="C483" s="31" t="s">
        <v>445</v>
      </c>
      <c r="D483" s="106" t="s">
        <v>162</v>
      </c>
      <c r="E483" s="107" t="s">
        <v>591</v>
      </c>
      <c r="F483" s="52" t="s">
        <v>105</v>
      </c>
      <c r="G483" s="52" t="s">
        <v>105</v>
      </c>
      <c r="H483" s="52" t="s">
        <v>105</v>
      </c>
      <c r="I483" s="52"/>
      <c r="J483" s="207"/>
      <c r="K483" s="69"/>
    </row>
    <row r="484" spans="1:11" s="6" customFormat="1" ht="12.75" customHeight="1">
      <c r="A484" s="104">
        <v>2.221</v>
      </c>
      <c r="B484" s="105" t="s">
        <v>297</v>
      </c>
      <c r="C484" s="31" t="s">
        <v>445</v>
      </c>
      <c r="D484" s="106" t="s">
        <v>162</v>
      </c>
      <c r="E484" s="107" t="s">
        <v>592</v>
      </c>
      <c r="F484" s="52" t="s">
        <v>105</v>
      </c>
      <c r="G484" s="52" t="s">
        <v>105</v>
      </c>
      <c r="H484" s="52" t="s">
        <v>105</v>
      </c>
      <c r="I484" s="52"/>
      <c r="J484" s="207"/>
      <c r="K484" s="69"/>
    </row>
    <row r="485" spans="1:11" s="6" customFormat="1" ht="12.75" customHeight="1">
      <c r="A485" s="104">
        <v>2.221</v>
      </c>
      <c r="B485" s="105" t="s">
        <v>296</v>
      </c>
      <c r="C485" s="31" t="s">
        <v>445</v>
      </c>
      <c r="D485" s="106" t="s">
        <v>162</v>
      </c>
      <c r="E485" s="107" t="s">
        <v>593</v>
      </c>
      <c r="F485" s="52" t="s">
        <v>105</v>
      </c>
      <c r="G485" s="52" t="s">
        <v>105</v>
      </c>
      <c r="H485" s="52" t="s">
        <v>105</v>
      </c>
      <c r="I485" s="52"/>
      <c r="J485" s="207"/>
      <c r="K485" s="69"/>
    </row>
    <row r="486" spans="1:11" s="6" customFormat="1" ht="12.75" customHeight="1">
      <c r="A486" s="104">
        <v>2.221</v>
      </c>
      <c r="B486" s="105" t="s">
        <v>298</v>
      </c>
      <c r="C486" s="31" t="s">
        <v>445</v>
      </c>
      <c r="D486" s="106" t="s">
        <v>162</v>
      </c>
      <c r="E486" s="107" t="s">
        <v>594</v>
      </c>
      <c r="F486" s="52" t="s">
        <v>105</v>
      </c>
      <c r="G486" s="52" t="s">
        <v>105</v>
      </c>
      <c r="H486" s="52" t="s">
        <v>105</v>
      </c>
      <c r="I486" s="52"/>
      <c r="J486" s="207"/>
      <c r="K486" s="69"/>
    </row>
    <row r="487" spans="1:11" s="6" customFormat="1" ht="12.75" customHeight="1">
      <c r="A487" s="104">
        <v>2.221</v>
      </c>
      <c r="B487" s="105" t="s">
        <v>299</v>
      </c>
      <c r="C487" s="31" t="s">
        <v>445</v>
      </c>
      <c r="D487" s="106" t="s">
        <v>162</v>
      </c>
      <c r="E487" s="107" t="s">
        <v>595</v>
      </c>
      <c r="F487" s="52" t="s">
        <v>105</v>
      </c>
      <c r="G487" s="52" t="s">
        <v>105</v>
      </c>
      <c r="H487" s="52" t="s">
        <v>105</v>
      </c>
      <c r="I487" s="52"/>
      <c r="J487" s="207"/>
      <c r="K487" s="69"/>
    </row>
    <row r="488" spans="1:11" s="6" customFormat="1" ht="12.75" customHeight="1">
      <c r="A488" s="104">
        <v>2.221</v>
      </c>
      <c r="B488" s="105" t="s">
        <v>301</v>
      </c>
      <c r="C488" s="31" t="s">
        <v>445</v>
      </c>
      <c r="D488" s="106" t="s">
        <v>162</v>
      </c>
      <c r="E488" s="107" t="s">
        <v>596</v>
      </c>
      <c r="F488" s="52" t="s">
        <v>105</v>
      </c>
      <c r="G488" s="52" t="s">
        <v>105</v>
      </c>
      <c r="H488" s="52" t="s">
        <v>105</v>
      </c>
      <c r="I488" s="52"/>
      <c r="J488" s="207"/>
      <c r="K488" s="69"/>
    </row>
    <row r="489" spans="1:11" s="6" customFormat="1" ht="12.75" customHeight="1">
      <c r="A489" s="104">
        <v>2.221</v>
      </c>
      <c r="B489" s="105" t="s">
        <v>302</v>
      </c>
      <c r="C489" s="31" t="s">
        <v>445</v>
      </c>
      <c r="D489" s="106" t="s">
        <v>162</v>
      </c>
      <c r="E489" s="107" t="s">
        <v>597</v>
      </c>
      <c r="F489" s="52" t="s">
        <v>105</v>
      </c>
      <c r="G489" s="52" t="s">
        <v>105</v>
      </c>
      <c r="H489" s="52" t="s">
        <v>105</v>
      </c>
      <c r="I489" s="52"/>
      <c r="J489" s="207"/>
      <c r="K489" s="69"/>
    </row>
    <row r="490" spans="1:11" s="6" customFormat="1" ht="12.75" customHeight="1">
      <c r="A490" s="104">
        <v>2.221</v>
      </c>
      <c r="B490" s="105" t="s">
        <v>303</v>
      </c>
      <c r="C490" s="31" t="s">
        <v>445</v>
      </c>
      <c r="D490" s="106" t="s">
        <v>162</v>
      </c>
      <c r="E490" s="107" t="s">
        <v>598</v>
      </c>
      <c r="F490" s="52" t="s">
        <v>105</v>
      </c>
      <c r="G490" s="52" t="s">
        <v>105</v>
      </c>
      <c r="H490" s="52" t="s">
        <v>105</v>
      </c>
      <c r="I490" s="52"/>
      <c r="J490" s="207"/>
      <c r="K490" s="69"/>
    </row>
    <row r="491" spans="1:11" s="6" customFormat="1" ht="12.75" customHeight="1">
      <c r="A491" s="104">
        <v>2.221</v>
      </c>
      <c r="B491" s="105" t="s">
        <v>300</v>
      </c>
      <c r="C491" s="31" t="s">
        <v>445</v>
      </c>
      <c r="D491" s="106" t="s">
        <v>162</v>
      </c>
      <c r="E491" s="107" t="s">
        <v>599</v>
      </c>
      <c r="F491" s="52" t="s">
        <v>105</v>
      </c>
      <c r="G491" s="52" t="s">
        <v>105</v>
      </c>
      <c r="H491" s="52" t="s">
        <v>105</v>
      </c>
      <c r="I491" s="52"/>
      <c r="J491" s="207"/>
      <c r="K491" s="69"/>
    </row>
    <row r="492" spans="1:11" s="6" customFormat="1" ht="12.75" customHeight="1">
      <c r="A492" s="104">
        <v>2.221</v>
      </c>
      <c r="B492" s="105" t="s">
        <v>1073</v>
      </c>
      <c r="C492" s="31" t="s">
        <v>445</v>
      </c>
      <c r="D492" s="106" t="s">
        <v>162</v>
      </c>
      <c r="E492" s="107" t="s">
        <v>1074</v>
      </c>
      <c r="F492" s="52" t="s">
        <v>105</v>
      </c>
      <c r="G492" s="52" t="s">
        <v>105</v>
      </c>
      <c r="H492" s="52" t="s">
        <v>105</v>
      </c>
      <c r="I492" s="52"/>
      <c r="J492" s="207"/>
      <c r="K492" s="69"/>
    </row>
    <row r="493" spans="1:11" s="6" customFormat="1" ht="12.75" customHeight="1">
      <c r="A493" s="104">
        <v>2.221</v>
      </c>
      <c r="B493" s="105" t="s">
        <v>1255</v>
      </c>
      <c r="C493" s="31" t="s">
        <v>445</v>
      </c>
      <c r="D493" s="106" t="s">
        <v>162</v>
      </c>
      <c r="E493" s="107" t="s">
        <v>1254</v>
      </c>
      <c r="F493" s="52" t="s">
        <v>105</v>
      </c>
      <c r="G493" s="52" t="s">
        <v>105</v>
      </c>
      <c r="H493" s="52" t="s">
        <v>105</v>
      </c>
      <c r="I493" s="52"/>
      <c r="J493" s="207"/>
      <c r="K493" s="69"/>
    </row>
    <row r="494" spans="1:11" s="6" customFormat="1" ht="12.75" customHeight="1">
      <c r="A494" s="104">
        <v>2.221</v>
      </c>
      <c r="B494" s="105" t="s">
        <v>1912</v>
      </c>
      <c r="C494" s="31" t="s">
        <v>445</v>
      </c>
      <c r="D494" s="106" t="s">
        <v>162</v>
      </c>
      <c r="E494" s="107" t="s">
        <v>1911</v>
      </c>
      <c r="F494" s="52" t="s">
        <v>105</v>
      </c>
      <c r="G494" s="52" t="s">
        <v>105</v>
      </c>
      <c r="H494" s="52" t="s">
        <v>105</v>
      </c>
      <c r="I494" s="52"/>
      <c r="J494" s="207"/>
      <c r="K494" s="69"/>
    </row>
    <row r="495" spans="1:11" s="6" customFormat="1" ht="12.75" customHeight="1">
      <c r="A495" s="177">
        <v>2.268</v>
      </c>
      <c r="B495" s="105" t="s">
        <v>1689</v>
      </c>
      <c r="C495" s="33" t="s">
        <v>444</v>
      </c>
      <c r="D495" s="106" t="s">
        <v>162</v>
      </c>
      <c r="E495" s="107" t="s">
        <v>1688</v>
      </c>
      <c r="F495" s="52" t="s">
        <v>105</v>
      </c>
      <c r="G495" s="52" t="s">
        <v>105</v>
      </c>
      <c r="H495" s="52" t="s">
        <v>105</v>
      </c>
      <c r="I495" s="52"/>
      <c r="J495" s="207"/>
      <c r="K495" s="69"/>
    </row>
    <row r="496" spans="1:11" s="6" customFormat="1" ht="12.75" customHeight="1">
      <c r="A496" s="104">
        <v>2.268</v>
      </c>
      <c r="B496" s="105" t="s">
        <v>304</v>
      </c>
      <c r="C496" s="33" t="s">
        <v>444</v>
      </c>
      <c r="D496" s="106" t="s">
        <v>162</v>
      </c>
      <c r="E496" s="107" t="s">
        <v>588</v>
      </c>
      <c r="F496" s="52" t="s">
        <v>105</v>
      </c>
      <c r="G496" s="52" t="s">
        <v>105</v>
      </c>
      <c r="H496" s="52" t="s">
        <v>105</v>
      </c>
      <c r="I496" s="52"/>
      <c r="J496" s="207"/>
      <c r="K496" s="69"/>
    </row>
    <row r="497" spans="1:11" s="6" customFormat="1" ht="12.75" customHeight="1">
      <c r="A497" s="104">
        <v>2.268</v>
      </c>
      <c r="B497" s="105" t="s">
        <v>602</v>
      </c>
      <c r="C497" s="31" t="s">
        <v>444</v>
      </c>
      <c r="D497" s="106" t="s">
        <v>162</v>
      </c>
      <c r="E497" s="107" t="s">
        <v>715</v>
      </c>
      <c r="F497" s="52" t="s">
        <v>105</v>
      </c>
      <c r="G497" s="52" t="s">
        <v>105</v>
      </c>
      <c r="H497" s="52" t="s">
        <v>105</v>
      </c>
      <c r="I497" s="52"/>
      <c r="J497" s="207"/>
      <c r="K497" s="69"/>
    </row>
    <row r="498" spans="1:11" s="6" customFormat="1" ht="12.75" customHeight="1">
      <c r="A498" s="104">
        <v>2.268</v>
      </c>
      <c r="B498" s="105" t="s">
        <v>988</v>
      </c>
      <c r="C498" s="31" t="s">
        <v>444</v>
      </c>
      <c r="D498" s="106" t="s">
        <v>162</v>
      </c>
      <c r="E498" s="107" t="s">
        <v>990</v>
      </c>
      <c r="F498" s="52" t="s">
        <v>105</v>
      </c>
      <c r="G498" s="52" t="s">
        <v>105</v>
      </c>
      <c r="H498" s="52" t="s">
        <v>105</v>
      </c>
      <c r="I498" s="52"/>
      <c r="J498" s="207"/>
      <c r="K498" s="69"/>
    </row>
    <row r="499" spans="1:11" s="6" customFormat="1" ht="12.75" customHeight="1">
      <c r="A499" s="104">
        <v>2.268</v>
      </c>
      <c r="B499" s="105" t="s">
        <v>307</v>
      </c>
      <c r="C499" s="31" t="s">
        <v>444</v>
      </c>
      <c r="D499" s="106" t="s">
        <v>162</v>
      </c>
      <c r="E499" s="107" t="s">
        <v>600</v>
      </c>
      <c r="F499" s="52" t="s">
        <v>105</v>
      </c>
      <c r="G499" s="52" t="s">
        <v>105</v>
      </c>
      <c r="H499" s="52" t="s">
        <v>105</v>
      </c>
      <c r="I499" s="52"/>
      <c r="J499" s="207"/>
      <c r="K499" s="69" t="s">
        <v>105</v>
      </c>
    </row>
    <row r="500" spans="1:11" s="6" customFormat="1" ht="12.75" customHeight="1">
      <c r="A500" s="104">
        <v>2.268</v>
      </c>
      <c r="B500" s="105" t="s">
        <v>636</v>
      </c>
      <c r="C500" s="31" t="s">
        <v>444</v>
      </c>
      <c r="D500" s="106" t="s">
        <v>162</v>
      </c>
      <c r="E500" s="107" t="s">
        <v>716</v>
      </c>
      <c r="F500" s="52" t="s">
        <v>105</v>
      </c>
      <c r="G500" s="52" t="s">
        <v>105</v>
      </c>
      <c r="H500" s="52" t="s">
        <v>105</v>
      </c>
      <c r="I500" s="52"/>
      <c r="J500" s="207"/>
      <c r="K500" s="69"/>
    </row>
    <row r="501" spans="1:11" s="6" customFormat="1" ht="12.75" customHeight="1">
      <c r="A501" s="104">
        <v>2.268</v>
      </c>
      <c r="B501" s="105" t="s">
        <v>1137</v>
      </c>
      <c r="C501" s="31" t="s">
        <v>444</v>
      </c>
      <c r="D501" s="106" t="s">
        <v>162</v>
      </c>
      <c r="E501" s="107" t="s">
        <v>1138</v>
      </c>
      <c r="F501" s="52" t="s">
        <v>105</v>
      </c>
      <c r="G501" s="52" t="s">
        <v>105</v>
      </c>
      <c r="H501" s="52" t="s">
        <v>105</v>
      </c>
      <c r="I501" s="52"/>
      <c r="J501" s="207"/>
      <c r="K501" s="69"/>
    </row>
    <row r="502" spans="1:11" s="6" customFormat="1" ht="12.75" customHeight="1">
      <c r="A502" s="104">
        <v>2.268</v>
      </c>
      <c r="B502" s="105" t="s">
        <v>293</v>
      </c>
      <c r="C502" s="31" t="s">
        <v>444</v>
      </c>
      <c r="D502" s="106" t="s">
        <v>162</v>
      </c>
      <c r="E502" s="107" t="s">
        <v>1399</v>
      </c>
      <c r="F502" s="52" t="s">
        <v>105</v>
      </c>
      <c r="G502" s="52" t="s">
        <v>105</v>
      </c>
      <c r="H502" s="52" t="s">
        <v>105</v>
      </c>
      <c r="I502" s="52"/>
      <c r="J502" s="207"/>
      <c r="K502" s="69"/>
    </row>
    <row r="503" spans="1:11" s="6" customFormat="1" ht="12.75" customHeight="1">
      <c r="A503" s="104">
        <v>2.268</v>
      </c>
      <c r="B503" s="105" t="s">
        <v>1425</v>
      </c>
      <c r="C503" s="31" t="s">
        <v>444</v>
      </c>
      <c r="D503" s="106" t="s">
        <v>162</v>
      </c>
      <c r="E503" s="107" t="s">
        <v>1426</v>
      </c>
      <c r="F503" s="52" t="s">
        <v>105</v>
      </c>
      <c r="G503" s="52" t="s">
        <v>105</v>
      </c>
      <c r="H503" s="52" t="s">
        <v>105</v>
      </c>
      <c r="I503" s="52"/>
      <c r="J503" s="207"/>
      <c r="K503" s="69"/>
    </row>
    <row r="504" spans="1:11" s="6" customFormat="1" ht="12.75" customHeight="1">
      <c r="A504" s="177">
        <v>2.314</v>
      </c>
      <c r="B504" s="105" t="s">
        <v>1824</v>
      </c>
      <c r="C504" s="141" t="s">
        <v>1733</v>
      </c>
      <c r="D504" s="106" t="s">
        <v>162</v>
      </c>
      <c r="E504" s="107" t="s">
        <v>1825</v>
      </c>
      <c r="F504" s="52" t="s">
        <v>105</v>
      </c>
      <c r="G504" s="52" t="s">
        <v>105</v>
      </c>
      <c r="H504" s="52" t="s">
        <v>105</v>
      </c>
      <c r="I504" s="52"/>
      <c r="J504" s="207"/>
      <c r="K504" s="69"/>
    </row>
    <row r="505" spans="1:11" s="6" customFormat="1" ht="12.75" customHeight="1">
      <c r="A505" s="177">
        <v>2.392</v>
      </c>
      <c r="B505" s="105" t="s">
        <v>1653</v>
      </c>
      <c r="C505" s="33" t="s">
        <v>1374</v>
      </c>
      <c r="D505" s="106" t="s">
        <v>162</v>
      </c>
      <c r="E505" s="107" t="s">
        <v>1652</v>
      </c>
      <c r="F505" s="52" t="s">
        <v>105</v>
      </c>
      <c r="G505" s="52" t="s">
        <v>105</v>
      </c>
      <c r="H505" s="52" t="s">
        <v>105</v>
      </c>
      <c r="I505" s="52"/>
      <c r="J505" s="207"/>
      <c r="K505" s="69"/>
    </row>
    <row r="506" spans="1:11" s="6" customFormat="1" ht="12.75">
      <c r="A506" s="104">
        <v>2.181</v>
      </c>
      <c r="B506" s="105" t="s">
        <v>469</v>
      </c>
      <c r="C506" s="31" t="s">
        <v>471</v>
      </c>
      <c r="D506" s="106" t="s">
        <v>162</v>
      </c>
      <c r="E506" s="107" t="s">
        <v>601</v>
      </c>
      <c r="F506" s="52" t="s">
        <v>105</v>
      </c>
      <c r="G506" s="52" t="s">
        <v>105</v>
      </c>
      <c r="H506" s="52" t="s">
        <v>105</v>
      </c>
      <c r="I506" s="52"/>
      <c r="J506" s="207"/>
      <c r="K506" s="69"/>
    </row>
    <row r="507" spans="1:11" s="6" customFormat="1" ht="12.75">
      <c r="A507" s="108">
        <v>2.367</v>
      </c>
      <c r="B507" s="109" t="s">
        <v>1384</v>
      </c>
      <c r="C507" s="216" t="s">
        <v>1052</v>
      </c>
      <c r="D507" s="106" t="s">
        <v>162</v>
      </c>
      <c r="E507" s="110" t="s">
        <v>1385</v>
      </c>
      <c r="F507" s="52" t="s">
        <v>105</v>
      </c>
      <c r="G507" s="52" t="s">
        <v>105</v>
      </c>
      <c r="H507" s="52" t="s">
        <v>105</v>
      </c>
      <c r="I507" s="66"/>
      <c r="J507" s="209"/>
      <c r="K507" s="70"/>
    </row>
    <row r="508" spans="1:11" s="6" customFormat="1" ht="12.75">
      <c r="A508" s="108">
        <v>1.178</v>
      </c>
      <c r="B508" s="109" t="s">
        <v>1293</v>
      </c>
      <c r="C508" s="197" t="s">
        <v>954</v>
      </c>
      <c r="D508" s="106" t="s">
        <v>162</v>
      </c>
      <c r="E508" s="110" t="s">
        <v>1294</v>
      </c>
      <c r="F508" s="52" t="s">
        <v>105</v>
      </c>
      <c r="G508" s="52" t="s">
        <v>105</v>
      </c>
      <c r="H508" s="52" t="s">
        <v>105</v>
      </c>
      <c r="I508" s="66"/>
      <c r="J508" s="209"/>
      <c r="K508" s="70"/>
    </row>
    <row r="509" spans="1:11" s="6" customFormat="1" ht="13.5" customHeight="1" thickBot="1">
      <c r="A509" s="196">
        <v>1.178</v>
      </c>
      <c r="B509" s="150" t="s">
        <v>306</v>
      </c>
      <c r="C509" s="198" t="s">
        <v>954</v>
      </c>
      <c r="D509" s="199" t="s">
        <v>162</v>
      </c>
      <c r="E509" s="151" t="s">
        <v>1460</v>
      </c>
      <c r="F509" s="144" t="s">
        <v>105</v>
      </c>
      <c r="G509" s="144" t="s">
        <v>105</v>
      </c>
      <c r="H509" s="144" t="s">
        <v>105</v>
      </c>
      <c r="I509" s="144"/>
      <c r="J509" s="215"/>
      <c r="K509" s="145"/>
    </row>
    <row r="510" s="6" customFormat="1" ht="12.75" customHeight="1"/>
    <row r="511" s="6" customFormat="1" ht="12.75" customHeight="1"/>
    <row r="512" s="6" customFormat="1" ht="12.75" customHeight="1"/>
    <row r="513" s="6" customFormat="1" ht="12.75" customHeight="1"/>
    <row r="514" s="6" customFormat="1" ht="12.75" customHeight="1"/>
    <row r="515" s="6" customFormat="1" ht="12.75" customHeight="1"/>
    <row r="516" s="6" customFormat="1" ht="12.75" customHeight="1"/>
    <row r="517" s="6" customFormat="1" ht="12.75" customHeight="1"/>
    <row r="518" s="6" customFormat="1" ht="12.75" customHeight="1"/>
    <row r="519" s="6" customFormat="1" ht="12.75" customHeight="1"/>
    <row r="520" s="6" customFormat="1" ht="12.75" customHeight="1"/>
    <row r="521" s="6" customFormat="1" ht="12.75" customHeight="1"/>
    <row r="522" s="6" customFormat="1" ht="12.75" customHeight="1"/>
    <row r="523" s="6" customFormat="1" ht="12.75" customHeight="1"/>
    <row r="524" s="6" customFormat="1" ht="12.75" customHeight="1"/>
    <row r="525" s="6" customFormat="1" ht="12.75" customHeight="1"/>
    <row r="526" s="6" customFormat="1" ht="12.75" customHeight="1"/>
    <row r="527" s="6" customFormat="1" ht="12.75" customHeight="1"/>
    <row r="528" s="6" customFormat="1" ht="12.75" customHeight="1"/>
    <row r="529" s="6" customFormat="1" ht="12.75" customHeight="1"/>
    <row r="530" s="6" customFormat="1" ht="12.75" customHeight="1"/>
    <row r="531" s="6" customFormat="1" ht="12.75" customHeight="1"/>
    <row r="532" s="6" customFormat="1" ht="12.75" customHeight="1"/>
    <row r="533" s="6" customFormat="1" ht="12.75" customHeight="1"/>
    <row r="534" s="6" customFormat="1" ht="12.75" customHeight="1"/>
    <row r="535" s="6" customFormat="1" ht="12.75" customHeight="1"/>
    <row r="536" s="6" customFormat="1" ht="12.75" customHeight="1"/>
    <row r="537" s="6" customFormat="1" ht="12.75" customHeight="1"/>
    <row r="538" s="6" customFormat="1" ht="12.75" customHeight="1"/>
    <row r="539" s="6" customFormat="1" ht="12.75" customHeight="1"/>
    <row r="540" s="6" customFormat="1" ht="12.75" customHeight="1"/>
    <row r="541" s="6" customFormat="1" ht="12.75" customHeight="1"/>
    <row r="542" s="6" customFormat="1" ht="12.75" customHeight="1"/>
    <row r="543" s="6" customFormat="1" ht="12.75" customHeight="1"/>
    <row r="544" s="6" customFormat="1" ht="12.75" customHeight="1"/>
    <row r="545" s="6" customFormat="1" ht="12.75" customHeight="1"/>
    <row r="546" s="6" customFormat="1" ht="12.75" customHeight="1"/>
    <row r="547" s="6" customFormat="1" ht="12.75" customHeight="1"/>
    <row r="548" s="6" customFormat="1" ht="12.75" customHeight="1"/>
    <row r="549" s="6" customFormat="1" ht="12.75" customHeight="1"/>
    <row r="550" s="6" customFormat="1" ht="12.75" customHeight="1"/>
    <row r="551" s="6" customFormat="1" ht="12.75" customHeight="1"/>
    <row r="552" s="6" customFormat="1" ht="12.75" customHeight="1"/>
    <row r="553" s="6" customFormat="1" ht="12.75" customHeight="1"/>
    <row r="554" s="6" customFormat="1" ht="12.75" customHeight="1"/>
    <row r="555" s="6" customFormat="1" ht="12.75" customHeight="1"/>
    <row r="556" s="6" customFormat="1" ht="12.75" customHeight="1"/>
    <row r="557" s="6" customFormat="1" ht="12.75" customHeight="1"/>
    <row r="558" s="6" customFormat="1" ht="12.75" customHeight="1"/>
    <row r="559" s="6" customFormat="1" ht="12.75" customHeight="1"/>
    <row r="560" s="6" customFormat="1" ht="12.75" customHeight="1"/>
    <row r="561" s="6" customFormat="1" ht="12.75" customHeight="1"/>
    <row r="562" s="6" customFormat="1" ht="12.75" customHeight="1"/>
    <row r="563" s="6" customFormat="1" ht="12.75" customHeight="1"/>
    <row r="564" s="6" customFormat="1" ht="12.75" customHeight="1"/>
    <row r="565" s="6" customFormat="1" ht="12.75" customHeight="1"/>
    <row r="566" s="6" customFormat="1" ht="12.75" customHeight="1"/>
    <row r="567" s="6" customFormat="1" ht="12.75" customHeight="1"/>
    <row r="568" s="6" customFormat="1" ht="12.75" customHeight="1"/>
    <row r="569" s="6" customFormat="1" ht="12.75" customHeight="1"/>
    <row r="570" s="6" customFormat="1" ht="12.75" customHeight="1"/>
    <row r="571" s="6" customFormat="1" ht="12.75" customHeight="1"/>
    <row r="572" s="6" customFormat="1" ht="12.75" customHeight="1"/>
    <row r="573" s="6" customFormat="1" ht="12.75" customHeight="1"/>
    <row r="574" s="6" customFormat="1" ht="12.75" customHeight="1"/>
    <row r="575" s="6" customFormat="1" ht="12.75" customHeight="1"/>
    <row r="576" s="6" customFormat="1" ht="12.75" customHeight="1"/>
    <row r="577" s="6" customFormat="1" ht="12.75" customHeight="1"/>
    <row r="578" s="6" customFormat="1" ht="12.75" customHeight="1"/>
    <row r="579" s="6" customFormat="1" ht="12.75" customHeight="1"/>
    <row r="580" s="6" customFormat="1" ht="12.75" customHeight="1"/>
    <row r="581" s="6" customFormat="1" ht="12.75" customHeight="1"/>
    <row r="582" s="6" customFormat="1" ht="12.75" customHeight="1"/>
    <row r="583" s="6" customFormat="1" ht="12.75" customHeight="1"/>
    <row r="584" s="6" customFormat="1" ht="12.75" customHeight="1"/>
    <row r="585" s="6" customFormat="1" ht="12.75" customHeight="1"/>
    <row r="586" s="6" customFormat="1" ht="12.75" customHeight="1"/>
    <row r="587" s="6" customFormat="1" ht="12.75" customHeight="1"/>
    <row r="588" s="6" customFormat="1" ht="12.75" customHeight="1"/>
    <row r="589" s="43" customFormat="1" ht="12.75" customHeight="1"/>
    <row r="590" s="6" customFormat="1" ht="12.75" customHeight="1"/>
    <row r="591" s="9" customFormat="1" ht="12.75" customHeight="1"/>
    <row r="592" s="9" customFormat="1" ht="12.75" customHeight="1"/>
    <row r="593" s="9" customFormat="1" ht="12.75" customHeight="1"/>
    <row r="594" s="9" customFormat="1" ht="12.75" customHeight="1"/>
    <row r="595" s="9" customFormat="1" ht="12.75" customHeight="1"/>
    <row r="596" s="9" customFormat="1" ht="12.75" customHeight="1"/>
    <row r="597" s="9" customFormat="1" ht="12.75" customHeight="1"/>
    <row r="598" s="9" customFormat="1" ht="12.75" customHeight="1"/>
    <row r="599" s="9" customFormat="1" ht="12.75" customHeight="1"/>
    <row r="600" s="6" customFormat="1" ht="12.75" customHeight="1"/>
    <row r="601" s="6" customFormat="1" ht="12.75" customHeight="1"/>
    <row r="602" s="6" customFormat="1" ht="12.75" customHeight="1"/>
    <row r="603" s="6" customFormat="1" ht="12.75" customHeight="1"/>
    <row r="604" s="6" customFormat="1" ht="12.75" customHeight="1"/>
    <row r="605" s="6" customFormat="1" ht="12.75"/>
    <row r="606" s="6" customFormat="1" ht="12.75"/>
    <row r="607" s="6" customFormat="1" ht="12.75"/>
    <row r="608" s="6" customFormat="1" ht="12.75"/>
    <row r="609" s="6" customFormat="1" ht="12.75"/>
    <row r="610" s="6" customFormat="1" ht="12.75"/>
    <row r="611" s="6" customFormat="1" ht="12.75"/>
    <row r="612" s="6" customFormat="1" ht="12.75"/>
    <row r="613" s="6" customFormat="1" ht="12.75"/>
    <row r="614" s="6" customFormat="1" ht="12.75"/>
    <row r="615" s="6" customFormat="1" ht="12.75">
      <c r="E615" s="89"/>
    </row>
    <row r="616" s="6" customFormat="1" ht="12.75"/>
    <row r="617" s="6" customFormat="1" ht="12.75"/>
    <row r="618" s="6" customFormat="1" ht="12.75"/>
    <row r="619" s="6" customFormat="1" ht="12.75"/>
    <row r="620" s="6" customFormat="1" ht="12.75"/>
    <row r="621" s="6" customFormat="1" ht="12.75"/>
    <row r="622" s="6" customFormat="1" ht="12.75"/>
    <row r="623" s="6" customFormat="1" ht="12.75"/>
    <row r="624" s="6" customFormat="1" ht="12.75"/>
    <row r="625" s="6" customFormat="1" ht="12.75"/>
    <row r="626" s="6" customFormat="1" ht="12.75"/>
    <row r="627" s="6" customFormat="1" ht="12.75"/>
    <row r="628" s="6" customFormat="1" ht="12.75"/>
    <row r="629" s="6" customFormat="1" ht="12.75"/>
    <row r="630" s="6" customFormat="1" ht="12.75"/>
    <row r="631" s="6" customFormat="1" ht="12.75"/>
    <row r="632" s="6" customFormat="1" ht="12.75"/>
    <row r="633" s="6" customFormat="1" ht="12.75"/>
    <row r="634" s="6" customFormat="1" ht="12.75"/>
    <row r="635" s="6" customFormat="1" ht="12.75"/>
    <row r="636" s="6" customFormat="1" ht="12.75"/>
    <row r="637" s="6" customFormat="1" ht="12.75"/>
    <row r="638" s="6" customFormat="1" ht="12.75"/>
    <row r="639" s="6" customFormat="1" ht="12.75"/>
    <row r="640" s="6" customFormat="1" ht="12.75"/>
    <row r="641" s="6" customFormat="1" ht="12.75"/>
    <row r="642" s="6" customFormat="1" ht="12.75"/>
    <row r="643" s="6" customFormat="1" ht="12.75"/>
    <row r="644" s="6" customFormat="1" ht="12.75"/>
    <row r="645" s="6" customFormat="1" ht="12.75"/>
    <row r="646" s="6" customFormat="1" ht="12.75"/>
    <row r="647" s="6" customFormat="1" ht="12.75"/>
    <row r="648" s="6" customFormat="1" ht="12.75"/>
    <row r="649" s="6" customFormat="1" ht="12.75"/>
    <row r="650" s="6" customFormat="1" ht="12.75"/>
    <row r="651" s="6" customFormat="1" ht="12.75"/>
    <row r="652" s="6" customFormat="1" ht="12.75"/>
    <row r="653" s="6" customFormat="1" ht="12.75"/>
    <row r="654" s="6" customFormat="1" ht="12.75"/>
    <row r="655" s="6" customFormat="1" ht="12.75"/>
    <row r="656" spans="1:11" ht="12.75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</row>
    <row r="657" spans="1:11" ht="12.75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</row>
    <row r="658" spans="1:11" ht="12.75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</row>
    <row r="659" spans="1:11" ht="12.75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</row>
    <row r="660" spans="1:11" ht="12.75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</row>
    <row r="661" spans="1:11" ht="12.75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</row>
    <row r="662" spans="1:11" ht="12.75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</row>
    <row r="663" spans="1:11" ht="12.75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</row>
    <row r="664" spans="1:11" ht="12.75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</row>
    <row r="665" spans="1:11" ht="12.7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</row>
    <row r="666" spans="1:11" ht="12.75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</row>
    <row r="667" spans="1:11" ht="12.75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</row>
    <row r="668" spans="1:11" ht="12.75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</row>
    <row r="669" spans="1:11" ht="12.75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</row>
    <row r="670" spans="1:11" ht="12.75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</row>
    <row r="671" spans="1:11" ht="12.75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</row>
    <row r="672" spans="1:11" ht="12.75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</row>
    <row r="673" spans="1:11" ht="12.75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</row>
    <row r="674" spans="1:11" ht="12.75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</row>
    <row r="675" spans="1:11" ht="12.7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</row>
    <row r="676" spans="1:11" ht="12.75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</row>
    <row r="677" spans="1:11" ht="12.75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</row>
    <row r="678" spans="1:11" ht="12.75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</row>
    <row r="679" spans="1:11" ht="12.75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</row>
    <row r="680" spans="1:11" ht="12.75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</row>
    <row r="681" spans="1:11" ht="12.75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</row>
    <row r="682" spans="1:11" ht="12.75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</row>
    <row r="683" spans="1:11" ht="12.75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</row>
    <row r="684" spans="1:11" ht="12.75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</row>
    <row r="685" spans="1:11" ht="12.7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</row>
    <row r="686" spans="1:11" ht="12.75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</row>
    <row r="687" spans="1:11" ht="12.75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</row>
    <row r="688" spans="1:11" ht="12.75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</row>
    <row r="689" spans="1:11" ht="12.75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</row>
    <row r="690" spans="1:11" ht="12.75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</row>
    <row r="691" s="45" customFormat="1" ht="12.75"/>
    <row r="692" spans="1:11" ht="12.75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</row>
    <row r="693" spans="1:11" ht="12.75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</row>
    <row r="694" spans="1:11" ht="12.75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</row>
    <row r="695" spans="1:11" ht="12.7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</row>
    <row r="696" spans="1:11" ht="12.75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</row>
    <row r="697" spans="1:11" ht="12.75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</row>
    <row r="698" spans="1:11" ht="12.75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</row>
    <row r="699" spans="1:11" ht="12.75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</row>
    <row r="700" spans="1:11" ht="12.75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</row>
    <row r="701" spans="1:11" ht="12.75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</row>
    <row r="702" spans="1:11" ht="12.75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</row>
    <row r="703" spans="1:11" ht="12.75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</row>
    <row r="704" spans="1:11" ht="12.75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</row>
    <row r="705" spans="1:11" ht="12.7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</row>
    <row r="706" spans="1:11" ht="12.75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</row>
    <row r="707" spans="1:11" ht="12.75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</row>
    <row r="708" spans="1:11" ht="12.75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</row>
    <row r="709" spans="1:11" ht="12.75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</row>
    <row r="710" spans="1:11" ht="12.75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</row>
    <row r="711" spans="1:11" ht="12.75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</row>
    <row r="712" spans="1:11" ht="12.75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</row>
    <row r="713" spans="1:11" ht="12.75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</row>
    <row r="714" spans="1:11" ht="12.75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</row>
    <row r="715" spans="1:11" ht="12.7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</row>
    <row r="716" spans="1:11" ht="12.75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</row>
    <row r="717" spans="1:11" ht="12.75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</row>
    <row r="718" spans="1:11" ht="12.75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</row>
    <row r="719" spans="1:10" ht="12.75">
      <c r="A719" s="59"/>
      <c r="B719" s="47"/>
      <c r="C719" s="38"/>
      <c r="D719" s="47"/>
      <c r="E719" s="29"/>
      <c r="G719" s="11"/>
      <c r="H719" s="11"/>
      <c r="I719" s="11"/>
      <c r="J719" s="11"/>
    </row>
    <row r="720" spans="1:5" ht="12.75">
      <c r="A720" s="59"/>
      <c r="B720" s="60"/>
      <c r="C720" s="39"/>
      <c r="D720" s="50"/>
      <c r="E720" s="29"/>
    </row>
    <row r="721" spans="1:5" ht="12.75">
      <c r="A721" s="59"/>
      <c r="B721" s="60"/>
      <c r="C721" s="39"/>
      <c r="D721" s="50"/>
      <c r="E721" s="29"/>
    </row>
    <row r="722" spans="1:5" ht="12.75">
      <c r="A722" s="59"/>
      <c r="B722" s="60"/>
      <c r="C722" s="39"/>
      <c r="D722" s="50"/>
      <c r="E722" s="29"/>
    </row>
    <row r="723" spans="1:5" ht="12.75">
      <c r="A723" s="59"/>
      <c r="B723" s="60"/>
      <c r="C723" s="39"/>
      <c r="D723" s="50"/>
      <c r="E723" s="29"/>
    </row>
    <row r="724" spans="1:5" ht="12.75">
      <c r="A724" s="59"/>
      <c r="B724" s="60"/>
      <c r="C724" s="39"/>
      <c r="D724" s="50"/>
      <c r="E724" s="29"/>
    </row>
    <row r="725" spans="1:5" ht="12.75">
      <c r="A725" s="59"/>
      <c r="B725" s="60"/>
      <c r="C725" s="39"/>
      <c r="D725" s="50"/>
      <c r="E725" s="29"/>
    </row>
    <row r="726" spans="1:5" ht="12.75">
      <c r="A726" s="59"/>
      <c r="B726" s="60"/>
      <c r="C726" s="39"/>
      <c r="D726" s="50"/>
      <c r="E726" s="29"/>
    </row>
    <row r="727" spans="1:5" ht="12.75">
      <c r="A727" s="59"/>
      <c r="B727" s="60"/>
      <c r="C727" s="39"/>
      <c r="D727" s="50"/>
      <c r="E727" s="29"/>
    </row>
    <row r="728" spans="1:5" ht="12.75">
      <c r="A728" s="59"/>
      <c r="B728" s="60"/>
      <c r="C728" s="39"/>
      <c r="D728" s="50"/>
      <c r="E728" s="29"/>
    </row>
    <row r="729" ht="12.75">
      <c r="E729" s="29"/>
    </row>
    <row r="730" ht="12.75">
      <c r="E730" s="29"/>
    </row>
    <row r="731" ht="12.75">
      <c r="E731" s="29"/>
    </row>
    <row r="732" spans="1:11" ht="12.75">
      <c r="A732" s="63"/>
      <c r="B732" s="10"/>
      <c r="C732" s="41"/>
      <c r="D732" s="10"/>
      <c r="E732" s="29"/>
      <c r="F732" s="6"/>
      <c r="G732" s="7"/>
      <c r="H732" s="7"/>
      <c r="I732" s="7"/>
      <c r="J732" s="7"/>
      <c r="K732" s="7"/>
    </row>
    <row r="733" spans="1:11" ht="12.75">
      <c r="A733" s="63"/>
      <c r="B733" s="10"/>
      <c r="C733" s="41"/>
      <c r="D733" s="10"/>
      <c r="E733" s="29"/>
      <c r="F733" s="6"/>
      <c r="G733" s="7"/>
      <c r="H733" s="7"/>
      <c r="I733" s="7"/>
      <c r="J733" s="7"/>
      <c r="K733" s="7"/>
    </row>
    <row r="734" spans="1:11" ht="12.75">
      <c r="A734" s="63"/>
      <c r="B734" s="10"/>
      <c r="C734" s="41"/>
      <c r="D734" s="10"/>
      <c r="E734" s="29"/>
      <c r="F734" s="6"/>
      <c r="G734" s="7"/>
      <c r="H734" s="7"/>
      <c r="I734" s="7"/>
      <c r="J734" s="7"/>
      <c r="K734" s="7"/>
    </row>
    <row r="735" spans="1:11" ht="12.75">
      <c r="A735" s="63"/>
      <c r="B735" s="10"/>
      <c r="C735" s="41"/>
      <c r="D735" s="10"/>
      <c r="E735" s="29"/>
      <c r="F735" s="6"/>
      <c r="G735" s="7"/>
      <c r="H735" s="7"/>
      <c r="I735" s="7"/>
      <c r="J735" s="7"/>
      <c r="K735" s="7"/>
    </row>
  </sheetData>
  <sheetProtection/>
  <autoFilter ref="A5:K604"/>
  <mergeCells count="83">
    <mergeCell ref="A166:E166"/>
    <mergeCell ref="F166:J166"/>
    <mergeCell ref="A232:E232"/>
    <mergeCell ref="A406:E406"/>
    <mergeCell ref="A224:E224"/>
    <mergeCell ref="A218:E218"/>
    <mergeCell ref="A207:E207"/>
    <mergeCell ref="A215:E215"/>
    <mergeCell ref="A8:E8"/>
    <mergeCell ref="F8:J8"/>
    <mergeCell ref="F236:J236"/>
    <mergeCell ref="A11:E11"/>
    <mergeCell ref="A229:E229"/>
    <mergeCell ref="A169:E169"/>
    <mergeCell ref="A78:E78"/>
    <mergeCell ref="A125:E125"/>
    <mergeCell ref="A91:E91"/>
    <mergeCell ref="A386:E386"/>
    <mergeCell ref="A263:E263"/>
    <mergeCell ref="A440:E440"/>
    <mergeCell ref="A265:E265"/>
    <mergeCell ref="A424:E424"/>
    <mergeCell ref="A227:E227"/>
    <mergeCell ref="A412:E412"/>
    <mergeCell ref="A417:E417"/>
    <mergeCell ref="A13:E13"/>
    <mergeCell ref="A480:E480"/>
    <mergeCell ref="A426:E426"/>
    <mergeCell ref="A470:E470"/>
    <mergeCell ref="F180:J180"/>
    <mergeCell ref="A1:K2"/>
    <mergeCell ref="A3:E4"/>
    <mergeCell ref="F3:K4"/>
    <mergeCell ref="A147:E147"/>
    <mergeCell ref="A180:E180"/>
    <mergeCell ref="A141:E141"/>
    <mergeCell ref="F177:J177"/>
    <mergeCell ref="F205:J205"/>
    <mergeCell ref="A115:E115"/>
    <mergeCell ref="A177:E177"/>
    <mergeCell ref="A205:E205"/>
    <mergeCell ref="A192:E192"/>
    <mergeCell ref="F147:J147"/>
    <mergeCell ref="F141:J141"/>
    <mergeCell ref="F125:J125"/>
    <mergeCell ref="A131:E131"/>
    <mergeCell ref="F131:J131"/>
    <mergeCell ref="F78:J78"/>
    <mergeCell ref="F115:J115"/>
    <mergeCell ref="F91:J91"/>
    <mergeCell ref="F13:J13"/>
    <mergeCell ref="F11:J11"/>
    <mergeCell ref="F229:J229"/>
    <mergeCell ref="F215:J215"/>
    <mergeCell ref="F207:J207"/>
    <mergeCell ref="F224:J224"/>
    <mergeCell ref="F227:J227"/>
    <mergeCell ref="F292:J292"/>
    <mergeCell ref="F386:J386"/>
    <mergeCell ref="F232:J232"/>
    <mergeCell ref="F234:J234"/>
    <mergeCell ref="F424:J424"/>
    <mergeCell ref="F417:J417"/>
    <mergeCell ref="F412:J412"/>
    <mergeCell ref="F470:J470"/>
    <mergeCell ref="F406:J406"/>
    <mergeCell ref="F480:J480"/>
    <mergeCell ref="F426:J426"/>
    <mergeCell ref="F440:J440"/>
    <mergeCell ref="A236:E236"/>
    <mergeCell ref="A234:E234"/>
    <mergeCell ref="A6:E6"/>
    <mergeCell ref="F6:J6"/>
    <mergeCell ref="F259:J259"/>
    <mergeCell ref="A371:E371"/>
    <mergeCell ref="F265:J265"/>
    <mergeCell ref="F263:J263"/>
    <mergeCell ref="F371:J371"/>
    <mergeCell ref="A259:E259"/>
    <mergeCell ref="A292:E292"/>
    <mergeCell ref="F218:J218"/>
    <mergeCell ref="F169:J169"/>
    <mergeCell ref="F192:J192"/>
  </mergeCells>
  <conditionalFormatting sqref="E126:E128">
    <cfRule type="duplicateValues" priority="120" dxfId="0" stopIfTrue="1">
      <formula>AND(COUNTIF($E$126:$E$128,E126)&gt;1,NOT(ISBLANK(E126)))</formula>
    </cfRule>
  </conditionalFormatting>
  <conditionalFormatting sqref="E230">
    <cfRule type="duplicateValues" priority="117" dxfId="0" stopIfTrue="1">
      <formula>AND(COUNTIF($E$230:$E$230,E230)&gt;1,NOT(ISBLANK(E230)))</formula>
    </cfRule>
  </conditionalFormatting>
  <conditionalFormatting sqref="E415:E416">
    <cfRule type="duplicateValues" priority="1236" dxfId="0" stopIfTrue="1">
      <formula>AND(COUNTIF($E$415:$E$416,E415)&gt;1,NOT(ISBLANK(E415)))</formula>
    </cfRule>
  </conditionalFormatting>
  <conditionalFormatting sqref="E232:E233">
    <cfRule type="duplicateValues" priority="2398" dxfId="0" stopIfTrue="1">
      <formula>AND(COUNTIF($E$232:$E$233,E232)&gt;1,NOT(ISBLANK(E232)))</formula>
    </cfRule>
  </conditionalFormatting>
  <conditionalFormatting sqref="E466:E469 E441:E464">
    <cfRule type="duplicateValues" priority="2406" dxfId="0" stopIfTrue="1">
      <formula>AND(COUNTIF($E$466:$E$469,E441)+COUNTIF($E$441:$E$464,E441)&gt;1,NOT(ISBLANK(E441)))</formula>
    </cfRule>
  </conditionalFormatting>
  <conditionalFormatting sqref="E8">
    <cfRule type="duplicateValues" priority="93" dxfId="0" stopIfTrue="1">
      <formula>AND(COUNTIF($E$8:$E$8,E8)&gt;1,NOT(ISBLANK(E8)))</formula>
    </cfRule>
  </conditionalFormatting>
  <conditionalFormatting sqref="E166">
    <cfRule type="duplicateValues" priority="82" dxfId="0" stopIfTrue="1">
      <formula>AND(COUNTIF($E$166:$E$166,E166)&gt;1,NOT(ISBLANK(E166)))</formula>
    </cfRule>
  </conditionalFormatting>
  <conditionalFormatting sqref="E168">
    <cfRule type="duplicateValues" priority="2472" dxfId="0" stopIfTrue="1">
      <formula>AND(COUNTIF($E$168:$E$168,E168)&gt;1,NOT(ISBLANK(E168)))</formula>
    </cfRule>
  </conditionalFormatting>
  <conditionalFormatting sqref="E172:E176">
    <cfRule type="duplicateValues" priority="81" dxfId="0" stopIfTrue="1">
      <formula>AND(COUNTIF($E$172:$E$176,E172)&gt;1,NOT(ISBLANK(E172)))</formula>
    </cfRule>
  </conditionalFormatting>
  <conditionalFormatting sqref="E210:E214">
    <cfRule type="duplicateValues" priority="74" dxfId="0" stopIfTrue="1">
      <formula>AND(COUNTIF($E$210:$E$214,E210)&gt;1,NOT(ISBLANK(E210)))</formula>
    </cfRule>
  </conditionalFormatting>
  <conditionalFormatting sqref="E231">
    <cfRule type="duplicateValues" priority="2494" dxfId="0" stopIfTrue="1">
      <formula>AND(COUNTIF($E$231:$E$231,E231)&gt;1,NOT(ISBLANK(E231)))</formula>
    </cfRule>
  </conditionalFormatting>
  <conditionalFormatting sqref="E465">
    <cfRule type="duplicateValues" priority="55" dxfId="0" stopIfTrue="1">
      <formula>AND(COUNTIF($E$465:$E$465,E465)&gt;1,NOT(ISBLANK(E465)))</formula>
    </cfRule>
  </conditionalFormatting>
  <conditionalFormatting sqref="E465">
    <cfRule type="duplicateValues" priority="56" dxfId="0" stopIfTrue="1">
      <formula>AND(COUNTIF($E$465:$E$465,E465)&gt;1,NOT(ISBLANK(E465)))</formula>
    </cfRule>
  </conditionalFormatting>
  <conditionalFormatting sqref="E291">
    <cfRule type="duplicateValues" priority="53" dxfId="0" stopIfTrue="1">
      <formula>AND(COUNTIF($E$291:$E$291,E291)&gt;1,NOT(ISBLANK(E291)))</formula>
    </cfRule>
  </conditionalFormatting>
  <conditionalFormatting sqref="E291">
    <cfRule type="duplicateValues" priority="54" dxfId="0" stopIfTrue="1">
      <formula>AND(COUNTIF($E$291:$E$291,E291)&gt;1,NOT(ISBLANK(E291)))</formula>
    </cfRule>
  </conditionalFormatting>
  <conditionalFormatting sqref="E419:E423">
    <cfRule type="duplicateValues" priority="47" dxfId="0" stopIfTrue="1">
      <formula>AND(COUNTIF($E$419:$E$423,E419)&gt;1,NOT(ISBLANK(E419)))</formula>
    </cfRule>
  </conditionalFormatting>
  <conditionalFormatting sqref="E6:E7">
    <cfRule type="duplicateValues" priority="2886" dxfId="0" stopIfTrue="1">
      <formula>AND(COUNTIF($E$6:$E$7,E6)&gt;1,NOT(ISBLANK(E6)))</formula>
    </cfRule>
  </conditionalFormatting>
  <conditionalFormatting sqref="E7">
    <cfRule type="duplicateValues" priority="2887" dxfId="0" stopIfTrue="1">
      <formula>AND(COUNTIF($E$7:$E$7,E7)&gt;1,NOT(ISBLANK(E7)))</formula>
    </cfRule>
  </conditionalFormatting>
  <conditionalFormatting sqref="E237:E258">
    <cfRule type="duplicateValues" priority="2930" dxfId="0" stopIfTrue="1">
      <formula>AND(COUNTIF($E$237:$E$258,E237)&gt;1,NOT(ISBLANK(E237)))</formula>
    </cfRule>
  </conditionalFormatting>
  <conditionalFormatting sqref="E206">
    <cfRule type="duplicateValues" priority="23" dxfId="0" stopIfTrue="1">
      <formula>AND(COUNTIF($E$206:$E$206,E206)&gt;1,NOT(ISBLANK(E206)))</formula>
    </cfRule>
  </conditionalFormatting>
  <conditionalFormatting sqref="E206">
    <cfRule type="duplicateValues" priority="24" dxfId="0" stopIfTrue="1">
      <formula>AND(COUNTIF($E$206:$E$206,E206)&gt;1,NOT(ISBLANK(E206)))</formula>
    </cfRule>
  </conditionalFormatting>
  <conditionalFormatting sqref="E206">
    <cfRule type="duplicateValues" priority="22" dxfId="0" stopIfTrue="1">
      <formula>AND(COUNTIF($E$206:$E$206,E206)&gt;1,NOT(ISBLANK(E206)))</formula>
    </cfRule>
  </conditionalFormatting>
  <conditionalFormatting sqref="E132:E140">
    <cfRule type="duplicateValues" priority="5359" dxfId="0" stopIfTrue="1">
      <formula>AND(COUNTIF($E$132:$E$140,E132)&gt;1,NOT(ISBLANK(E132)))</formula>
    </cfRule>
  </conditionalFormatting>
  <conditionalFormatting sqref="E131:E140">
    <cfRule type="duplicateValues" priority="5360" dxfId="0" stopIfTrue="1">
      <formula>AND(COUNTIF($E$131:$E$140,E131)&gt;1,NOT(ISBLANK(E131)))</formula>
    </cfRule>
  </conditionalFormatting>
  <conditionalFormatting sqref="E9:E10">
    <cfRule type="duplicateValues" priority="6368" dxfId="0" stopIfTrue="1">
      <formula>AND(COUNTIF($E$9:$E$10,E9)&gt;1,NOT(ISBLANK(E9)))</formula>
    </cfRule>
  </conditionalFormatting>
  <conditionalFormatting sqref="E12">
    <cfRule type="duplicateValues" priority="6490" dxfId="0" stopIfTrue="1">
      <formula>AND(COUNTIF($E$12:$E$12,E12)&gt;1,NOT(ISBLANK(E12)))</formula>
    </cfRule>
  </conditionalFormatting>
  <conditionalFormatting sqref="E14:E77">
    <cfRule type="duplicateValues" priority="6620" dxfId="0" stopIfTrue="1">
      <formula>AND(COUNTIF($E$14:$E$77,E14)&gt;1,NOT(ISBLANK(E14)))</formula>
    </cfRule>
  </conditionalFormatting>
  <conditionalFormatting sqref="E92:E114">
    <cfRule type="duplicateValues" priority="6738" dxfId="0" stopIfTrue="1">
      <formula>AND(COUNTIF($E$92:$E$114,E92)&gt;1,NOT(ISBLANK(E92)))</formula>
    </cfRule>
  </conditionalFormatting>
  <conditionalFormatting sqref="E116:E124">
    <cfRule type="duplicateValues" priority="6866" dxfId="0" stopIfTrue="1">
      <formula>AND(COUNTIF($E$116:$E$124,E116)&gt;1,NOT(ISBLANK(E116)))</formula>
    </cfRule>
  </conditionalFormatting>
  <conditionalFormatting sqref="E129:E130">
    <cfRule type="duplicateValues" priority="6984" dxfId="0" stopIfTrue="1">
      <formula>AND(COUNTIF($E$129:$E$130,E129)&gt;1,NOT(ISBLANK(E129)))</formula>
    </cfRule>
  </conditionalFormatting>
  <conditionalFormatting sqref="E142:E145">
    <cfRule type="duplicateValues" priority="6985" dxfId="0" stopIfTrue="1">
      <formula>AND(COUNTIF($E$142:$E$145,E142)&gt;1,NOT(ISBLANK(E142)))</formula>
    </cfRule>
  </conditionalFormatting>
  <conditionalFormatting sqref="E146">
    <cfRule type="duplicateValues" priority="6991" dxfId="0" stopIfTrue="1">
      <formula>AND(COUNTIF($E$146:$E$146,E146)&gt;1,NOT(ISBLANK(E146)))</formula>
    </cfRule>
  </conditionalFormatting>
  <conditionalFormatting sqref="E148:E165">
    <cfRule type="duplicateValues" priority="6992" dxfId="0" stopIfTrue="1">
      <formula>AND(COUNTIF($E$148:$E$165,E148)&gt;1,NOT(ISBLANK(E148)))</formula>
    </cfRule>
  </conditionalFormatting>
  <conditionalFormatting sqref="E167">
    <cfRule type="duplicateValues" priority="7042" dxfId="0" stopIfTrue="1">
      <formula>AND(COUNTIF($E$167:$E$167,E167)&gt;1,NOT(ISBLANK(E167)))</formula>
    </cfRule>
  </conditionalFormatting>
  <conditionalFormatting sqref="E177:E179">
    <cfRule type="duplicateValues" priority="7089" dxfId="0" stopIfTrue="1">
      <formula>AND(COUNTIF($E$177:$E$179,E177)&gt;1,NOT(ISBLANK(E177)))</formula>
    </cfRule>
  </conditionalFormatting>
  <conditionalFormatting sqref="E193:E204">
    <cfRule type="duplicateValues" priority="7126" dxfId="0" stopIfTrue="1">
      <formula>AND(COUNTIF($E$193:$E$204,E193)&gt;1,NOT(ISBLANK(E193)))</formula>
    </cfRule>
  </conditionalFormatting>
  <conditionalFormatting sqref="E205">
    <cfRule type="duplicateValues" priority="7164" dxfId="0" stopIfTrue="1">
      <formula>AND(COUNTIF($E$205:$E$205,E205)&gt;1,NOT(ISBLANK(E205)))</formula>
    </cfRule>
  </conditionalFormatting>
  <conditionalFormatting sqref="E216">
    <cfRule type="duplicateValues" priority="7199" dxfId="0" stopIfTrue="1">
      <formula>AND(COUNTIF($E$216:$E$216,E216)&gt;1,NOT(ISBLANK(E216)))</formula>
    </cfRule>
  </conditionalFormatting>
  <conditionalFormatting sqref="E225:E226">
    <cfRule type="duplicateValues" priority="7235" dxfId="0" stopIfTrue="1">
      <formula>AND(COUNTIF($E$225:$E$226,E225)&gt;1,NOT(ISBLANK(E225)))</formula>
    </cfRule>
  </conditionalFormatting>
  <conditionalFormatting sqref="E228">
    <cfRule type="duplicateValues" priority="7271" dxfId="0" stopIfTrue="1">
      <formula>AND(COUNTIF($E$228:$E$228,E228)&gt;1,NOT(ISBLANK(E228)))</formula>
    </cfRule>
  </conditionalFormatting>
  <conditionalFormatting sqref="E260:E261">
    <cfRule type="duplicateValues" priority="7303" dxfId="0" stopIfTrue="1">
      <formula>AND(COUNTIF($E$260:$E$261,E260)&gt;1,NOT(ISBLANK(E260)))</formula>
    </cfRule>
  </conditionalFormatting>
  <conditionalFormatting sqref="E266:E290">
    <cfRule type="duplicateValues" priority="7334" dxfId="0" stopIfTrue="1">
      <formula>AND(COUNTIF($E$266:$E$290,E266)&gt;1,NOT(ISBLANK(E266)))</formula>
    </cfRule>
  </conditionalFormatting>
  <conditionalFormatting sqref="E293:E370">
    <cfRule type="duplicateValues" priority="7436" dxfId="0" stopIfTrue="1">
      <formula>AND(COUNTIF($E$293:$E$370,E293)&gt;1,NOT(ISBLANK(E293)))</formula>
    </cfRule>
  </conditionalFormatting>
  <conditionalFormatting sqref="E372:E385">
    <cfRule type="duplicateValues" priority="7502" dxfId="0" stopIfTrue="1">
      <formula>AND(COUNTIF($E$372:$E$385,E372)&gt;1,NOT(ISBLANK(E372)))</formula>
    </cfRule>
  </conditionalFormatting>
  <conditionalFormatting sqref="E387:E405">
    <cfRule type="duplicateValues" priority="7535" dxfId="0" stopIfTrue="1">
      <formula>AND(COUNTIF($E$387:$E$405,E387)&gt;1,NOT(ISBLANK(E387)))</formula>
    </cfRule>
  </conditionalFormatting>
  <conditionalFormatting sqref="E407:E411">
    <cfRule type="duplicateValues" priority="7566" dxfId="0" stopIfTrue="1">
      <formula>AND(COUNTIF($E$407:$E$411,E407)&gt;1,NOT(ISBLANK(E407)))</formula>
    </cfRule>
  </conditionalFormatting>
  <conditionalFormatting sqref="E413:E414">
    <cfRule type="duplicateValues" priority="7568" dxfId="0" stopIfTrue="1">
      <formula>AND(COUNTIF($E$413:$E$414,E413)&gt;1,NOT(ISBLANK(E413)))</formula>
    </cfRule>
  </conditionalFormatting>
  <conditionalFormatting sqref="E425">
    <cfRule type="duplicateValues" priority="7624" dxfId="0" stopIfTrue="1">
      <formula>AND(COUNTIF($E$425:$E$425,E425)&gt;1,NOT(ISBLANK(E425)))</formula>
    </cfRule>
  </conditionalFormatting>
  <conditionalFormatting sqref="E466:E65536 E1:E5 E234:E259 E180:E204 E215 E217:E224 E424:E464 E168:E171 E9:E11 E141:E165 E207:E209 E227 E229:E231 E262:E290 E292:E418 E13:E130">
    <cfRule type="duplicateValues" priority="7625" dxfId="0" stopIfTrue="1">
      <formula>AND(COUNTIF($E$466:$E$65536,E1)+COUNTIF($E$1:$E$5,E1)+COUNTIF($E$234:$E$259,E1)+COUNTIF($E$180:$E$204,E1)+COUNTIF($E$215:$E$215,E1)+COUNTIF($E$217:$E$224,E1)+COUNTIF($E$424:$E$464,E1)+COUNTIF($E$168:$E$171,E1)+COUNTIF($E$9:$E$11,E1)+COUNTIF($E$141:$E$165,E1)+COUNTIF($E$207:$E$209,E1)+COUNTIF($E$227:$E$227,E1)+COUNTIF($E$229:$E$231,E1)+COUNTIF($E$262:$E$290,E1)+COUNTIF($E$292:$E$418,E1)+COUNTIF($E$13:$E$130,E1)&gt;1,NOT(ISBLANK(E1)))</formula>
    </cfRule>
  </conditionalFormatting>
  <conditionalFormatting sqref="E481:E509">
    <cfRule type="duplicateValues" priority="7645" dxfId="0" stopIfTrue="1">
      <formula>AND(COUNTIF($E$481:$E$509,E481)&gt;1,NOT(ISBLANK(E481)))</formula>
    </cfRule>
  </conditionalFormatting>
  <printOptions/>
  <pageMargins left="0.1968503937007874" right="0.1968503937007874" top="0.1968503937007874" bottom="0.5905511811023623" header="0" footer="0.3937007874015748"/>
  <pageSetup fitToHeight="500" fitToWidth="1" horizontalDpi="600" verticalDpi="600" orientation="portrait" paperSize="9" scale="50" r:id="rId1"/>
  <headerFooter alignWithMargins="0">
    <oddFooter>&amp;CЗа пределами Москвы и Московской области, страница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O128"/>
  <sheetViews>
    <sheetView zoomScale="75" zoomScaleNormal="75" zoomScalePageLayoutView="0" workbookViewId="0" topLeftCell="A1">
      <pane ySplit="1" topLeftCell="A44" activePane="bottomLeft" state="frozen"/>
      <selection pane="topLeft" activeCell="A1" sqref="A1"/>
      <selection pane="bottomLeft" activeCell="A1" sqref="A1:IV16384"/>
    </sheetView>
  </sheetViews>
  <sheetFormatPr defaultColWidth="9.140625" defaultRowHeight="12.75"/>
  <cols>
    <col min="1" max="1" width="2.7109375" style="16" customWidth="1"/>
    <col min="2" max="3" width="9.140625" style="16" customWidth="1"/>
    <col min="4" max="4" width="18.8515625" style="17" bestFit="1" customWidth="1"/>
    <col min="5" max="5" width="13.00390625" style="16" customWidth="1"/>
    <col min="6" max="6" width="16.421875" style="15" customWidth="1"/>
    <col min="7" max="7" width="9.140625" style="16" customWidth="1"/>
    <col min="8" max="8" width="20.57421875" style="17" bestFit="1" customWidth="1"/>
    <col min="9" max="10" width="15.421875" style="16" customWidth="1"/>
    <col min="11" max="12" width="9.140625" style="16" customWidth="1"/>
    <col min="13" max="13" width="17.28125" style="17" bestFit="1" customWidth="1"/>
    <col min="14" max="14" width="14.8515625" style="16" customWidth="1"/>
    <col min="15" max="16" width="9.140625" style="16" customWidth="1"/>
    <col min="17" max="17" width="17.28125" style="17" bestFit="1" customWidth="1"/>
    <col min="18" max="18" width="14.8515625" style="16" customWidth="1"/>
    <col min="19" max="16384" width="9.140625" style="16" customWidth="1"/>
  </cols>
  <sheetData>
    <row r="2" spans="3:14" ht="21.75">
      <c r="C2" s="321" t="s">
        <v>23</v>
      </c>
      <c r="D2" s="321"/>
      <c r="E2" s="321"/>
      <c r="G2" s="321" t="s">
        <v>24</v>
      </c>
      <c r="H2" s="321"/>
      <c r="I2" s="321"/>
      <c r="J2" s="14"/>
      <c r="L2" s="321" t="s">
        <v>25</v>
      </c>
      <c r="M2" s="321"/>
      <c r="N2" s="321"/>
    </row>
    <row r="3" spans="3:14" ht="21.75">
      <c r="C3" s="321"/>
      <c r="D3" s="321"/>
      <c r="E3" s="321"/>
      <c r="G3" s="321"/>
      <c r="H3" s="321"/>
      <c r="I3" s="321"/>
      <c r="J3" s="14"/>
      <c r="L3" s="321"/>
      <c r="M3" s="321"/>
      <c r="N3" s="321"/>
    </row>
    <row r="4" spans="4:14" ht="18">
      <c r="D4" s="18" t="s">
        <v>113</v>
      </c>
      <c r="E4" s="18">
        <f>COUNTIF('Москва и М.О.'!A6:A340,"&gt;0")</f>
        <v>314</v>
      </c>
      <c r="F4" s="19"/>
      <c r="H4" s="18" t="s">
        <v>113</v>
      </c>
      <c r="I4" s="18">
        <f>COUNTIF('Регионы РФ'!A6:A469,"&gt;0")</f>
        <v>425</v>
      </c>
      <c r="J4" s="18"/>
      <c r="M4" s="18" t="s">
        <v>113</v>
      </c>
      <c r="N4" s="18" t="e">
        <f>COUNTIF(#REF!,"&gt;0")</f>
        <v>#REF!</v>
      </c>
    </row>
    <row r="5" spans="8:14" ht="12.75" customHeight="1">
      <c r="H5" s="20"/>
      <c r="I5" s="18"/>
      <c r="J5" s="18"/>
      <c r="M5" s="20"/>
      <c r="N5" s="18"/>
    </row>
    <row r="6" spans="3:14" s="21" customFormat="1" ht="17.25" customHeight="1">
      <c r="C6" s="21" t="s">
        <v>26</v>
      </c>
      <c r="D6" s="21" t="s">
        <v>85</v>
      </c>
      <c r="E6" s="21" t="s">
        <v>27</v>
      </c>
      <c r="F6" s="22"/>
      <c r="G6" s="21" t="s">
        <v>26</v>
      </c>
      <c r="H6" s="21" t="s">
        <v>85</v>
      </c>
      <c r="I6" s="21" t="s">
        <v>27</v>
      </c>
      <c r="L6" s="21" t="s">
        <v>26</v>
      </c>
      <c r="M6" s="21" t="s">
        <v>114</v>
      </c>
      <c r="N6" s="21" t="s">
        <v>27</v>
      </c>
    </row>
    <row r="7" spans="3:14" ht="12.75">
      <c r="C7" s="16">
        <v>1</v>
      </c>
      <c r="D7" s="17" t="s">
        <v>60</v>
      </c>
      <c r="E7" s="16">
        <f>COUNTIF('Москва и М.О.'!A6:A108,"&gt;0")</f>
        <v>91</v>
      </c>
      <c r="G7" s="16">
        <v>1</v>
      </c>
      <c r="H7" s="17" t="s">
        <v>86</v>
      </c>
      <c r="I7" s="16" t="e">
        <f>COUNTIF('Регионы РФ'!#REF!,"&gt;0")</f>
        <v>#REF!</v>
      </c>
      <c r="L7" s="16">
        <v>1</v>
      </c>
      <c r="M7" s="17" t="s">
        <v>115</v>
      </c>
      <c r="N7" s="16" t="e">
        <f>COUNTIF(#REF!,"&gt;0")</f>
        <v>#REF!</v>
      </c>
    </row>
    <row r="8" spans="3:14" ht="12.75">
      <c r="C8" s="16">
        <v>3</v>
      </c>
      <c r="D8" s="17" t="s">
        <v>104</v>
      </c>
      <c r="E8" s="16">
        <f>COUNTIF('Москва и М.О.'!A8:A108,"&gt;0")</f>
        <v>91</v>
      </c>
      <c r="G8" s="16">
        <v>2</v>
      </c>
      <c r="H8" s="17" t="s">
        <v>91</v>
      </c>
      <c r="I8" s="16" t="e">
        <f>COUNTIF('Регионы РФ'!#REF!,"&gt;0")</f>
        <v>#REF!</v>
      </c>
      <c r="L8" s="16">
        <v>2</v>
      </c>
      <c r="M8" s="17" t="s">
        <v>96</v>
      </c>
      <c r="N8" s="16" t="e">
        <f>COUNTIF(#REF!,"&gt;0")</f>
        <v>#REF!</v>
      </c>
    </row>
    <row r="9" spans="3:12" ht="12.75">
      <c r="C9" s="16">
        <v>4</v>
      </c>
      <c r="D9" s="15" t="s">
        <v>109</v>
      </c>
      <c r="E9" s="16" t="e">
        <f>COUNTIF('Москва и М.О.'!#REF!,"&gt;0")</f>
        <v>#REF!</v>
      </c>
      <c r="G9" s="16">
        <v>3</v>
      </c>
      <c r="H9" s="17" t="s">
        <v>92</v>
      </c>
      <c r="I9" s="16" t="e">
        <f>COUNTIF('Регионы РФ'!#REF!,"&gt;0")</f>
        <v>#REF!</v>
      </c>
      <c r="L9" s="16">
        <v>3</v>
      </c>
    </row>
    <row r="10" spans="3:12" ht="12.75">
      <c r="C10" s="16">
        <v>5</v>
      </c>
      <c r="D10" s="15" t="s">
        <v>133</v>
      </c>
      <c r="E10" s="16" t="e">
        <f>COUNTIF('Москва и М.О.'!#REF!,"&gt;0")</f>
        <v>#REF!</v>
      </c>
      <c r="G10" s="16">
        <v>4</v>
      </c>
      <c r="H10" s="17" t="s">
        <v>82</v>
      </c>
      <c r="I10" s="16" t="e">
        <f>COUNTIF('Регионы РФ'!#REF!,"&gt;0")</f>
        <v>#REF!</v>
      </c>
      <c r="L10" s="16">
        <v>4</v>
      </c>
    </row>
    <row r="11" spans="3:12" ht="12.75">
      <c r="C11" s="16">
        <v>6</v>
      </c>
      <c r="D11" s="15" t="s">
        <v>38</v>
      </c>
      <c r="E11" s="16" t="e">
        <f>COUNTIF('Москва и М.О.'!#REF!,"&gt;0")</f>
        <v>#REF!</v>
      </c>
      <c r="G11" s="16">
        <v>5</v>
      </c>
      <c r="H11" s="17" t="s">
        <v>118</v>
      </c>
      <c r="I11" s="16" t="e">
        <f>COUNTIF('Регионы РФ'!#REF!,"&gt;0")</f>
        <v>#REF!</v>
      </c>
      <c r="L11" s="16">
        <v>5</v>
      </c>
    </row>
    <row r="12" spans="3:12" ht="12.75">
      <c r="C12" s="16">
        <v>7</v>
      </c>
      <c r="D12" s="15" t="s">
        <v>52</v>
      </c>
      <c r="E12" s="16" t="e">
        <f>COUNTIF('Москва и М.О.'!#REF!,"&gt;0")</f>
        <v>#REF!</v>
      </c>
      <c r="G12" s="16">
        <v>6</v>
      </c>
      <c r="H12" s="17" t="s">
        <v>31</v>
      </c>
      <c r="I12" s="16" t="e">
        <f>COUNTIF('Регионы РФ'!#REF!,"&gt;0")</f>
        <v>#REF!</v>
      </c>
      <c r="L12" s="16">
        <v>6</v>
      </c>
    </row>
    <row r="13" spans="3:12" ht="12.75">
      <c r="C13" s="16">
        <v>8</v>
      </c>
      <c r="D13" s="15" t="s">
        <v>18</v>
      </c>
      <c r="E13" s="16" t="e">
        <f>COUNTIF('Москва и М.О.'!#REF!,"&gt;0")</f>
        <v>#REF!</v>
      </c>
      <c r="G13" s="16">
        <v>7</v>
      </c>
      <c r="H13" s="17" t="s">
        <v>54</v>
      </c>
      <c r="I13" s="16" t="e">
        <f>COUNTIF('Регионы РФ'!#REF!,"&gt;0")</f>
        <v>#REF!</v>
      </c>
      <c r="L13" s="16">
        <v>7</v>
      </c>
    </row>
    <row r="14" spans="3:12" ht="12.75">
      <c r="C14" s="16">
        <v>9</v>
      </c>
      <c r="D14" s="15" t="s">
        <v>39</v>
      </c>
      <c r="E14" s="16" t="e">
        <f>COUNTIF('Москва и М.О.'!#REF!,"&gt;0")</f>
        <v>#REF!</v>
      </c>
      <c r="G14" s="16">
        <v>8</v>
      </c>
      <c r="H14" s="17" t="s">
        <v>75</v>
      </c>
      <c r="I14" s="16" t="e">
        <f>COUNTIF('Регионы РФ'!#REF!,"&gt;0")</f>
        <v>#REF!</v>
      </c>
      <c r="J14" s="23"/>
      <c r="L14" s="16">
        <v>8</v>
      </c>
    </row>
    <row r="15" spans="3:12" ht="12.75" customHeight="1">
      <c r="C15" s="16">
        <v>10</v>
      </c>
      <c r="D15" s="15" t="s">
        <v>53</v>
      </c>
      <c r="E15" s="16" t="e">
        <f>COUNTIF('Москва и М.О.'!#REF!,"&gt;0")</f>
        <v>#REF!</v>
      </c>
      <c r="G15" s="16">
        <v>9</v>
      </c>
      <c r="H15" s="12" t="s">
        <v>47</v>
      </c>
      <c r="I15" s="16" t="e">
        <f>COUNTIF('Регионы РФ'!#REF!,"&gt;0")</f>
        <v>#REF!</v>
      </c>
      <c r="J15" s="24"/>
      <c r="L15" s="16">
        <v>9</v>
      </c>
    </row>
    <row r="16" spans="3:9" ht="13.5" customHeight="1">
      <c r="C16" s="16">
        <v>11</v>
      </c>
      <c r="D16" s="15" t="s">
        <v>93</v>
      </c>
      <c r="E16" s="16" t="e">
        <f>COUNTIF('Москва и М.О.'!#REF!,"&gt;0")</f>
        <v>#REF!</v>
      </c>
      <c r="G16" s="16">
        <v>10</v>
      </c>
      <c r="H16" s="12" t="s">
        <v>48</v>
      </c>
      <c r="I16" s="16">
        <f>COUNTIF('Регионы РФ'!A13:A77,"&gt;0")</f>
        <v>64</v>
      </c>
    </row>
    <row r="17" spans="3:14" ht="12.75">
      <c r="C17" s="16">
        <v>12</v>
      </c>
      <c r="D17" s="15" t="s">
        <v>131</v>
      </c>
      <c r="E17" s="16" t="e">
        <f>COUNTIF('Москва и М.О.'!#REF!,"&gt;0")</f>
        <v>#REF!</v>
      </c>
      <c r="G17" s="16">
        <v>11</v>
      </c>
      <c r="H17" s="12" t="s">
        <v>110</v>
      </c>
      <c r="I17" s="16" t="e">
        <f>COUNTIF('Регионы РФ'!#REF!,"&gt;0")</f>
        <v>#REF!</v>
      </c>
      <c r="L17" s="319" t="e">
        <f>IF(N17=N4,"Ок","Ошибка")</f>
        <v>#REF!</v>
      </c>
      <c r="M17" s="320" t="s">
        <v>28</v>
      </c>
      <c r="N17" s="319" t="e">
        <f>SUM(N7:N8)</f>
        <v>#REF!</v>
      </c>
    </row>
    <row r="18" spans="4:14" ht="12.75">
      <c r="D18" s="15"/>
      <c r="G18" s="16">
        <v>12</v>
      </c>
      <c r="H18" s="26" t="s">
        <v>56</v>
      </c>
      <c r="I18" s="16" t="e">
        <f>COUNTIF('Регионы РФ'!#REF!,"&gt;0")</f>
        <v>#REF!</v>
      </c>
      <c r="L18" s="319"/>
      <c r="M18" s="320"/>
      <c r="N18" s="319"/>
    </row>
    <row r="19" spans="3:14" ht="12.75">
      <c r="C19" s="16">
        <v>1</v>
      </c>
      <c r="D19" s="17" t="s">
        <v>74</v>
      </c>
      <c r="E19" s="16">
        <f>COUNTIF('Москва и М.О.'!A109:A340,"&gt;0")</f>
        <v>223</v>
      </c>
      <c r="G19" s="16">
        <v>13</v>
      </c>
      <c r="H19" s="26" t="s">
        <v>79</v>
      </c>
      <c r="I19" s="16">
        <f>COUNTIF('Регионы РФ'!A91:A114,"&gt;0")</f>
        <v>23</v>
      </c>
      <c r="L19" s="319" t="e">
        <f>IF(N19=N4,"Ок","Ошибка")</f>
        <v>#REF!</v>
      </c>
      <c r="M19" s="320"/>
      <c r="N19" s="319" t="e">
        <f>SUM(M23:M24)</f>
        <v>#REF!</v>
      </c>
    </row>
    <row r="20" spans="3:14" ht="12.75" customHeight="1">
      <c r="C20" s="16">
        <v>2</v>
      </c>
      <c r="D20" s="15" t="s">
        <v>29</v>
      </c>
      <c r="E20" s="16">
        <f>COUNTIF('Москва и М.О.'!A368:A371,"&gt;0")</f>
        <v>0</v>
      </c>
      <c r="G20" s="16">
        <v>14</v>
      </c>
      <c r="H20" s="12" t="s">
        <v>49</v>
      </c>
      <c r="I20" s="16" t="e">
        <f>COUNTIF('Регионы РФ'!#REF!,"&gt;0")</f>
        <v>#REF!</v>
      </c>
      <c r="L20" s="319"/>
      <c r="M20" s="320"/>
      <c r="N20" s="319"/>
    </row>
    <row r="21" spans="3:9" ht="13.5" customHeight="1">
      <c r="C21" s="16">
        <v>3</v>
      </c>
      <c r="D21" s="15" t="s">
        <v>30</v>
      </c>
      <c r="E21" s="16">
        <f>COUNTIF('Москва и М.О.'!A315:A350,"&gt;0")</f>
        <v>36</v>
      </c>
      <c r="G21" s="16">
        <v>15</v>
      </c>
      <c r="H21" s="26" t="s">
        <v>50</v>
      </c>
      <c r="I21" s="16">
        <f>COUNTIF('Регионы РФ'!A115:A124,"&gt;0")</f>
        <v>9</v>
      </c>
    </row>
    <row r="22" spans="3:14" ht="12.75">
      <c r="C22" s="16">
        <v>4</v>
      </c>
      <c r="D22" s="15" t="s">
        <v>0</v>
      </c>
      <c r="E22" s="16">
        <f>COUNTIF('Москва и М.О.'!A157:A340,"&gt;0")</f>
        <v>178</v>
      </c>
      <c r="G22" s="16">
        <v>16</v>
      </c>
      <c r="H22" s="12" t="s">
        <v>17</v>
      </c>
      <c r="I22" s="16" t="e">
        <f>COUNTIF('Регионы РФ'!#REF!,"&gt;0")</f>
        <v>#REF!</v>
      </c>
      <c r="L22" s="16" t="s">
        <v>1</v>
      </c>
      <c r="M22" s="16" t="s">
        <v>27</v>
      </c>
      <c r="N22" s="16" t="s">
        <v>2</v>
      </c>
    </row>
    <row r="23" spans="3:15" ht="12.75">
      <c r="C23" s="16">
        <v>5</v>
      </c>
      <c r="D23" s="15" t="s">
        <v>3</v>
      </c>
      <c r="E23" s="16" t="e">
        <f>COUNTIF('Москва и М.О.'!#REF!,"&gt;0")</f>
        <v>#REF!</v>
      </c>
      <c r="G23" s="16">
        <v>17</v>
      </c>
      <c r="H23" s="12" t="s">
        <v>111</v>
      </c>
      <c r="I23" s="16" t="e">
        <f>COUNTIF('Регионы РФ'!#REF!,"&gt;0")</f>
        <v>#REF!</v>
      </c>
      <c r="K23" s="23" t="e">
        <f>COUNTIF(#REF!,"=3,1")</f>
        <v>#REF!</v>
      </c>
      <c r="L23" s="13" t="e">
        <f>#REF!</f>
        <v>#REF!</v>
      </c>
      <c r="M23" s="23" t="e">
        <f aca="true" t="shared" si="0" ref="M23:M31">IF(K23=0,"-----",K23)</f>
        <v>#REF!</v>
      </c>
      <c r="N23" s="16" t="e">
        <f>#REF!</f>
        <v>#REF!</v>
      </c>
      <c r="O23" s="15" t="s">
        <v>100</v>
      </c>
    </row>
    <row r="24" spans="3:15" ht="12.75">
      <c r="C24" s="16">
        <v>6</v>
      </c>
      <c r="D24" s="15" t="s">
        <v>4</v>
      </c>
      <c r="E24" s="16" t="e">
        <f>COUNTIF('Москва и М.О.'!#REF!,"&gt;0")</f>
        <v>#REF!</v>
      </c>
      <c r="G24" s="16">
        <v>18</v>
      </c>
      <c r="H24" s="26" t="s">
        <v>63</v>
      </c>
      <c r="I24" s="16" t="e">
        <f>COUNTIF('Регионы РФ'!#REF!,"&gt;0")</f>
        <v>#REF!</v>
      </c>
      <c r="K24" s="24" t="e">
        <f>COUNTIF(#REF!,"=3,2")</f>
        <v>#REF!</v>
      </c>
      <c r="L24" s="13" t="e">
        <f>#REF!</f>
        <v>#REF!</v>
      </c>
      <c r="M24" s="23" t="e">
        <f t="shared" si="0"/>
        <v>#REF!</v>
      </c>
      <c r="N24" s="16" t="e">
        <f>#REF!</f>
        <v>#REF!</v>
      </c>
      <c r="O24" s="15" t="s">
        <v>101</v>
      </c>
    </row>
    <row r="25" spans="3:14" ht="12.75">
      <c r="C25" s="16">
        <v>7</v>
      </c>
      <c r="D25" s="15" t="s">
        <v>5</v>
      </c>
      <c r="E25" s="16" t="e">
        <f>COUNTIF('Москва и М.О.'!#REF!,"&gt;0")</f>
        <v>#REF!</v>
      </c>
      <c r="G25" s="16">
        <v>19</v>
      </c>
      <c r="H25" s="12" t="s">
        <v>22</v>
      </c>
      <c r="I25" s="16" t="e">
        <f>COUNTIF('Регионы РФ'!#REF!,"&gt;0")</f>
        <v>#REF!</v>
      </c>
      <c r="K25" s="16" t="e">
        <f>COUNTIF(#REF!,"=3,3")</f>
        <v>#REF!</v>
      </c>
      <c r="L25" s="13" t="e">
        <f>#REF!</f>
        <v>#REF!</v>
      </c>
      <c r="M25" s="23" t="e">
        <f t="shared" si="0"/>
        <v>#REF!</v>
      </c>
      <c r="N25" s="16" t="e">
        <f>#REF!</f>
        <v>#REF!</v>
      </c>
    </row>
    <row r="26" spans="3:14" ht="12.75">
      <c r="C26" s="16">
        <v>8</v>
      </c>
      <c r="D26" s="15" t="s">
        <v>6</v>
      </c>
      <c r="E26" s="16" t="e">
        <f>COUNTIF('Москва и М.О.'!#REF!,"&gt;0")</f>
        <v>#REF!</v>
      </c>
      <c r="G26" s="16">
        <v>20</v>
      </c>
      <c r="H26" s="12" t="s">
        <v>83</v>
      </c>
      <c r="I26" s="16" t="e">
        <f>COUNTIF('Регионы РФ'!#REF!,"&gt;0")</f>
        <v>#REF!</v>
      </c>
      <c r="K26" s="16" t="e">
        <f>COUNTIF(#REF!,"=3,4")</f>
        <v>#REF!</v>
      </c>
      <c r="L26" s="13" t="e">
        <f>#REF!</f>
        <v>#REF!</v>
      </c>
      <c r="M26" s="23" t="e">
        <f t="shared" si="0"/>
        <v>#REF!</v>
      </c>
      <c r="N26" s="16" t="e">
        <f>#REF!</f>
        <v>#REF!</v>
      </c>
    </row>
    <row r="27" spans="3:14" ht="12.75">
      <c r="C27" s="16">
        <v>9</v>
      </c>
      <c r="D27" s="15" t="s">
        <v>7</v>
      </c>
      <c r="E27" s="16" t="e">
        <f>COUNTIF('Москва и М.О.'!#REF!,"&gt;0")</f>
        <v>#REF!</v>
      </c>
      <c r="G27" s="16">
        <v>21</v>
      </c>
      <c r="H27" s="12" t="s">
        <v>108</v>
      </c>
      <c r="I27" s="16" t="e">
        <f>COUNTIF('Регионы РФ'!#REF!,"&gt;0")</f>
        <v>#REF!</v>
      </c>
      <c r="K27" s="16" t="e">
        <f>COUNTIF(#REF!,"=3,5")</f>
        <v>#REF!</v>
      </c>
      <c r="L27" s="13" t="e">
        <f>#REF!</f>
        <v>#REF!</v>
      </c>
      <c r="M27" s="23" t="e">
        <f t="shared" si="0"/>
        <v>#REF!</v>
      </c>
      <c r="N27" s="16" t="e">
        <f>#REF!</f>
        <v>#REF!</v>
      </c>
    </row>
    <row r="28" spans="4:14" ht="12.75">
      <c r="D28" s="15"/>
      <c r="G28" s="16">
        <v>22</v>
      </c>
      <c r="H28" s="12" t="s">
        <v>137</v>
      </c>
      <c r="I28" s="16" t="e">
        <f>COUNTIF('Регионы РФ'!#REF!,"&gt;0")</f>
        <v>#REF!</v>
      </c>
      <c r="K28" s="16" t="e">
        <f>COUNTIF(#REF!,"=3,6")</f>
        <v>#REF!</v>
      </c>
      <c r="L28" s="13" t="e">
        <f>#REF!</f>
        <v>#REF!</v>
      </c>
      <c r="M28" s="23" t="e">
        <f t="shared" si="0"/>
        <v>#REF!</v>
      </c>
      <c r="N28" s="16" t="e">
        <f>#REF!</f>
        <v>#REF!</v>
      </c>
    </row>
    <row r="29" spans="3:14" ht="12.75">
      <c r="C29" s="319" t="e">
        <f>IF(E29=E4,"Ок","Ошибка")</f>
        <v>#REF!</v>
      </c>
      <c r="D29" s="320" t="s">
        <v>28</v>
      </c>
      <c r="E29" s="319" t="e">
        <f>SUM(E8:E17,E20:E27)</f>
        <v>#REF!</v>
      </c>
      <c r="G29" s="16">
        <v>23</v>
      </c>
      <c r="H29" s="26" t="s">
        <v>8</v>
      </c>
      <c r="I29" s="16" t="e">
        <f>COUNTIF('Регионы РФ'!#REF!,"&gt;0")</f>
        <v>#REF!</v>
      </c>
      <c r="K29" s="16" t="e">
        <f>COUNTIF(#REF!,"=3,7")</f>
        <v>#REF!</v>
      </c>
      <c r="L29" s="13" t="e">
        <f>#REF!</f>
        <v>#REF!</v>
      </c>
      <c r="M29" s="23" t="e">
        <f t="shared" si="0"/>
        <v>#REF!</v>
      </c>
      <c r="N29" s="16" t="e">
        <f>#REF!</f>
        <v>#REF!</v>
      </c>
    </row>
    <row r="30" spans="3:14" ht="12.75">
      <c r="C30" s="319"/>
      <c r="D30" s="320"/>
      <c r="E30" s="319"/>
      <c r="G30" s="16">
        <v>24</v>
      </c>
      <c r="H30" s="26" t="s">
        <v>59</v>
      </c>
      <c r="I30" s="16">
        <f>COUNTIF('Регионы РФ'!A141:A146,"&gt;0")</f>
        <v>5</v>
      </c>
      <c r="K30" s="16" t="e">
        <f>COUNTIF(#REF!,"=3,8")</f>
        <v>#REF!</v>
      </c>
      <c r="L30" s="13" t="e">
        <f>#REF!</f>
        <v>#REF!</v>
      </c>
      <c r="M30" s="23" t="e">
        <f t="shared" si="0"/>
        <v>#REF!</v>
      </c>
      <c r="N30" s="16" t="e">
        <f>#REF!</f>
        <v>#REF!</v>
      </c>
    </row>
    <row r="31" spans="3:14" ht="12.75">
      <c r="C31" s="319" t="e">
        <f>IF(E31=E4,"Ок","Ошибка")</f>
        <v>#VALUE!</v>
      </c>
      <c r="D31" s="320"/>
      <c r="E31" s="319" t="e">
        <f>SUM(D35:D61)-D48</f>
        <v>#VALUE!</v>
      </c>
      <c r="G31" s="16">
        <v>25</v>
      </c>
      <c r="H31" s="12" t="s">
        <v>112</v>
      </c>
      <c r="I31" s="16">
        <f>COUNTIF('Регионы РФ'!A147:A165,"&gt;0")</f>
        <v>18</v>
      </c>
      <c r="K31" s="16" t="e">
        <f>COUNTIF(#REF!,"=3,9")</f>
        <v>#REF!</v>
      </c>
      <c r="L31" s="13" t="e">
        <f>#REF!</f>
        <v>#REF!</v>
      </c>
      <c r="M31" s="23" t="e">
        <f t="shared" si="0"/>
        <v>#REF!</v>
      </c>
      <c r="N31" s="16" t="e">
        <f>#REF!</f>
        <v>#REF!</v>
      </c>
    </row>
    <row r="32" spans="3:9" ht="12.75">
      <c r="C32" s="319"/>
      <c r="D32" s="320"/>
      <c r="E32" s="319"/>
      <c r="G32" s="16">
        <v>26</v>
      </c>
      <c r="H32" s="12" t="s">
        <v>77</v>
      </c>
      <c r="I32" s="16" t="e">
        <f>COUNTIF('Регионы РФ'!#REF!,"&gt;0")</f>
        <v>#REF!</v>
      </c>
    </row>
    <row r="33" spans="4:9" ht="12.75">
      <c r="D33" s="15"/>
      <c r="G33" s="16">
        <v>27</v>
      </c>
      <c r="H33" s="26" t="s">
        <v>43</v>
      </c>
      <c r="I33" s="16" t="e">
        <f>COUNTIF('Регионы РФ'!#REF!,"&gt;0")</f>
        <v>#REF!</v>
      </c>
    </row>
    <row r="34" spans="3:14" ht="12.75">
      <c r="C34" s="16" t="s">
        <v>1</v>
      </c>
      <c r="D34" s="16" t="s">
        <v>27</v>
      </c>
      <c r="E34" s="16" t="s">
        <v>2</v>
      </c>
      <c r="G34" s="16">
        <v>28</v>
      </c>
      <c r="H34" s="12" t="s">
        <v>58</v>
      </c>
      <c r="I34" s="16" t="e">
        <f>COUNTIF('Регионы РФ'!#REF!,"&gt;0")</f>
        <v>#REF!</v>
      </c>
      <c r="L34" s="321" t="s">
        <v>21</v>
      </c>
      <c r="M34" s="321"/>
      <c r="N34" s="321"/>
    </row>
    <row r="35" spans="2:14" ht="12.75">
      <c r="B35" s="16">
        <f>COUNTIF('Москва и М.О.'!A6:A340,"=1,1")</f>
        <v>0</v>
      </c>
      <c r="C35" s="13" t="e">
        <f>'Москва и М.О.'!#REF!</f>
        <v>#REF!</v>
      </c>
      <c r="D35" s="16" t="str">
        <f aca="true" t="shared" si="1" ref="D35:D44">IF(B35=0,"-----",B35)</f>
        <v>-----</v>
      </c>
      <c r="E35" s="17" t="e">
        <f>'Москва и М.О.'!#REF!</f>
        <v>#REF!</v>
      </c>
      <c r="G35" s="16">
        <v>29</v>
      </c>
      <c r="H35" s="12" t="s">
        <v>20</v>
      </c>
      <c r="I35" s="16" t="e">
        <f>COUNTIF('Регионы РФ'!#REF!,"&gt;0")</f>
        <v>#REF!</v>
      </c>
      <c r="L35" s="321"/>
      <c r="M35" s="321"/>
      <c r="N35" s="321"/>
    </row>
    <row r="36" spans="2:14" ht="18">
      <c r="B36" s="16">
        <f>COUNTIF('Москва и М.О.'!A6:A340,"=1,2")</f>
        <v>0</v>
      </c>
      <c r="C36" s="13" t="e">
        <f>'Москва и М.О.'!#REF!</f>
        <v>#REF!</v>
      </c>
      <c r="D36" s="16" t="str">
        <f t="shared" si="1"/>
        <v>-----</v>
      </c>
      <c r="E36" s="17" t="e">
        <f>'Москва и М.О.'!#REF!</f>
        <v>#REF!</v>
      </c>
      <c r="F36" s="15" t="s">
        <v>32</v>
      </c>
      <c r="G36" s="16">
        <v>30</v>
      </c>
      <c r="H36" s="12" t="s">
        <v>64</v>
      </c>
      <c r="I36" s="16">
        <f>COUNTIF('Регионы РФ'!A169:A176,"&gt;0")</f>
        <v>7</v>
      </c>
      <c r="M36" s="18" t="s">
        <v>9</v>
      </c>
      <c r="N36" s="18" t="e">
        <f>COUNTIF(#REF!,"&gt;0")</f>
        <v>#REF!</v>
      </c>
    </row>
    <row r="37" spans="1:14" ht="13.5" customHeight="1">
      <c r="A37" s="13"/>
      <c r="B37" s="13">
        <f>COUNTIF('Москва и М.О.'!A6:A340,"=1,3")</f>
        <v>0</v>
      </c>
      <c r="C37" s="13" t="e">
        <f>'Москва и М.О.'!#REF!</f>
        <v>#REF!</v>
      </c>
      <c r="D37" s="16" t="str">
        <f t="shared" si="1"/>
        <v>-----</v>
      </c>
      <c r="E37" s="17" t="e">
        <f>'Москва и М.О.'!#REF!</f>
        <v>#REF!</v>
      </c>
      <c r="F37" s="15" t="s">
        <v>100</v>
      </c>
      <c r="G37" s="16">
        <v>31</v>
      </c>
      <c r="H37" s="12" t="s">
        <v>73</v>
      </c>
      <c r="I37" s="16" t="e">
        <f>COUNTIF('Регионы РФ'!#REF!,"&gt;0")</f>
        <v>#REF!</v>
      </c>
      <c r="M37" s="20"/>
      <c r="N37" s="18"/>
    </row>
    <row r="38" spans="1:14" ht="15">
      <c r="A38" s="13"/>
      <c r="B38" s="13">
        <f>COUNTIF('Москва и М.О.'!A6:A340,"=1,5")</f>
        <v>0</v>
      </c>
      <c r="C38" s="13" t="e">
        <f>'Москва и М.О.'!#REF!</f>
        <v>#REF!</v>
      </c>
      <c r="D38" s="16" t="str">
        <f t="shared" si="1"/>
        <v>-----</v>
      </c>
      <c r="E38" s="17" t="e">
        <f>'Москва и М.О.'!#REF!</f>
        <v>#REF!</v>
      </c>
      <c r="G38" s="16">
        <v>32</v>
      </c>
      <c r="H38" s="26" t="s">
        <v>132</v>
      </c>
      <c r="I38" s="16" t="e">
        <f>COUNTIF('Регионы РФ'!#REF!,"&gt;0")</f>
        <v>#REF!</v>
      </c>
      <c r="L38" s="21" t="s">
        <v>26</v>
      </c>
      <c r="M38" s="21" t="s">
        <v>114</v>
      </c>
      <c r="N38" s="21" t="s">
        <v>27</v>
      </c>
    </row>
    <row r="39" spans="1:14" ht="12.75">
      <c r="A39" s="13"/>
      <c r="B39" s="13">
        <f>COUNTIF('Москва и М.О.'!A6:A340,"=1,6")</f>
        <v>0</v>
      </c>
      <c r="C39" s="13" t="e">
        <f>'Москва и М.О.'!#REF!</f>
        <v>#REF!</v>
      </c>
      <c r="D39" s="16" t="str">
        <f t="shared" si="1"/>
        <v>-----</v>
      </c>
      <c r="E39" s="17" t="e">
        <f>'Москва и М.О.'!#REF!</f>
        <v>#REF!</v>
      </c>
      <c r="F39" s="17" t="s">
        <v>101</v>
      </c>
      <c r="G39" s="16">
        <v>33</v>
      </c>
      <c r="H39" s="12" t="s">
        <v>94</v>
      </c>
      <c r="I39" s="16" t="e">
        <f>COUNTIF('Регионы РФ'!#REF!,"&gt;0")</f>
        <v>#REF!</v>
      </c>
      <c r="L39" s="16">
        <v>1</v>
      </c>
      <c r="M39" s="17" t="s">
        <v>60</v>
      </c>
      <c r="N39" s="16" t="e">
        <f>COUNTIF(#REF!,"&gt;0")</f>
        <v>#REF!</v>
      </c>
    </row>
    <row r="40" spans="1:14" ht="12.75">
      <c r="A40" s="13"/>
      <c r="B40" s="13">
        <f>COUNTIF('Москва и М.О.'!A6:A340,"=1,7")</f>
        <v>0</v>
      </c>
      <c r="C40" s="13" t="e">
        <f>'Москва и М.О.'!#REF!</f>
        <v>#REF!</v>
      </c>
      <c r="D40" s="16" t="str">
        <f t="shared" si="1"/>
        <v>-----</v>
      </c>
      <c r="E40" s="17" t="e">
        <f>'Москва и М.О.'!#REF!</f>
        <v>#REF!</v>
      </c>
      <c r="G40" s="16">
        <v>34</v>
      </c>
      <c r="H40" s="26" t="s">
        <v>70</v>
      </c>
      <c r="I40" s="16">
        <f>COUNTIF('Регионы РФ'!A180:A191,"&gt;0")</f>
        <v>11</v>
      </c>
      <c r="L40" s="16">
        <v>2</v>
      </c>
      <c r="M40" s="17" t="s">
        <v>107</v>
      </c>
      <c r="N40" s="16" t="e">
        <f>COUNTIF(#REF!,"&gt;0")</f>
        <v>#REF!</v>
      </c>
    </row>
    <row r="41" spans="1:14" ht="12.75">
      <c r="A41" s="13"/>
      <c r="B41" s="13">
        <f>COUNTIF('Москва и М.О.'!A6:A340,"=1,8")</f>
        <v>0</v>
      </c>
      <c r="C41" s="13" t="e">
        <f>'Москва и М.О.'!#REF!</f>
        <v>#REF!</v>
      </c>
      <c r="D41" s="16" t="str">
        <f t="shared" si="1"/>
        <v>-----</v>
      </c>
      <c r="E41" s="17" t="e">
        <f>'Москва и М.О.'!#REF!</f>
        <v>#REF!</v>
      </c>
      <c r="G41" s="16">
        <v>35</v>
      </c>
      <c r="H41" s="26" t="s">
        <v>129</v>
      </c>
      <c r="I41" s="16" t="e">
        <f>COUNTIF('Регионы РФ'!#REF!,"&gt;0")</f>
        <v>#REF!</v>
      </c>
      <c r="L41" s="16">
        <v>3</v>
      </c>
      <c r="M41" s="12" t="s">
        <v>79</v>
      </c>
      <c r="N41" s="16" t="e">
        <f>COUNTIF(#REF!,"&gt;0")</f>
        <v>#REF!</v>
      </c>
    </row>
    <row r="42" spans="1:14" ht="12.75">
      <c r="A42" s="13"/>
      <c r="B42" s="13">
        <f>COUNTIF('Москва и М.О.'!A6:A340,"=1,9")</f>
        <v>0</v>
      </c>
      <c r="C42" s="13" t="e">
        <f>'Москва и М.О.'!#REF!</f>
        <v>#REF!</v>
      </c>
      <c r="D42" s="16" t="str">
        <f t="shared" si="1"/>
        <v>-----</v>
      </c>
      <c r="E42" s="17" t="e">
        <f>'Москва и М.О.'!#REF!</f>
        <v>#REF!</v>
      </c>
      <c r="G42" s="16">
        <v>36</v>
      </c>
      <c r="H42" s="12" t="s">
        <v>138</v>
      </c>
      <c r="I42" s="16">
        <f>COUNTIF('Регионы РФ'!A193:A201,"&gt;0")</f>
        <v>9</v>
      </c>
      <c r="L42" s="16">
        <v>4</v>
      </c>
      <c r="M42" s="12" t="s">
        <v>22</v>
      </c>
      <c r="N42" s="16" t="e">
        <f>COUNTIF(#REF!,"&gt;0")</f>
        <v>#REF!</v>
      </c>
    </row>
    <row r="43" spans="1:14" ht="12.75">
      <c r="A43" s="13"/>
      <c r="B43" s="13">
        <f>COUNTIF('Москва и М.О.'!A6:A340,"=1,11")</f>
        <v>0</v>
      </c>
      <c r="C43" s="13" t="e">
        <f>'Москва и М.О.'!#REF!</f>
        <v>#REF!</v>
      </c>
      <c r="D43" s="16" t="str">
        <f t="shared" si="1"/>
        <v>-----</v>
      </c>
      <c r="E43" s="17" t="e">
        <f>'Москва и М.О.'!#REF!</f>
        <v>#REF!</v>
      </c>
      <c r="F43" s="15" t="s">
        <v>142</v>
      </c>
      <c r="G43" s="16">
        <v>37</v>
      </c>
      <c r="H43" s="12" t="s">
        <v>119</v>
      </c>
      <c r="I43" s="16" t="e">
        <f>COUNTIF('Регионы РФ'!#REF!,"&gt;0")</f>
        <v>#REF!</v>
      </c>
      <c r="L43" s="16">
        <v>5</v>
      </c>
      <c r="M43" s="12" t="s">
        <v>43</v>
      </c>
      <c r="N43" s="16" t="e">
        <f>COUNTIF(#REF!,"&gt;0")</f>
        <v>#REF!</v>
      </c>
    </row>
    <row r="44" spans="1:14" ht="12.75">
      <c r="A44" s="13"/>
      <c r="B44" s="13">
        <f>COUNTIF('Москва и М.О.'!A6:A340,"=1,12")</f>
        <v>0</v>
      </c>
      <c r="C44" s="13" t="e">
        <f>'Москва и М.О.'!#REF!</f>
        <v>#REF!</v>
      </c>
      <c r="D44" s="16" t="str">
        <f t="shared" si="1"/>
        <v>-----</v>
      </c>
      <c r="E44" s="17" t="e">
        <f>'Москва и М.О.'!#REF!</f>
        <v>#REF!</v>
      </c>
      <c r="G44" s="16">
        <v>38</v>
      </c>
      <c r="H44" s="26" t="s">
        <v>143</v>
      </c>
      <c r="I44" s="16" t="e">
        <f>COUNTIF('Регионы РФ'!#REF!,"&gt;0")</f>
        <v>#REF!</v>
      </c>
      <c r="L44" s="16">
        <v>6</v>
      </c>
      <c r="M44" s="12" t="s">
        <v>129</v>
      </c>
      <c r="N44" s="16" t="e">
        <f>COUNTIF(#REF!,"&gt;0")</f>
        <v>#REF!</v>
      </c>
    </row>
    <row r="45" spans="1:14" ht="12.75">
      <c r="A45" s="13"/>
      <c r="B45" s="13">
        <f>COUNTIF('Москва и М.О.'!A6:A340,"=1,13")</f>
        <v>0</v>
      </c>
      <c r="C45" s="13" t="e">
        <f>'Москва и М.О.'!#REF!</f>
        <v>#REF!</v>
      </c>
      <c r="D45" s="16" t="str">
        <f aca="true" t="shared" si="2" ref="D45:D72">IF(B45=0,"-----",B45)</f>
        <v>-----</v>
      </c>
      <c r="E45" s="17" t="e">
        <f>'Москва и М.О.'!#REF!</f>
        <v>#REF!</v>
      </c>
      <c r="G45" s="16">
        <v>39</v>
      </c>
      <c r="H45" s="12" t="s">
        <v>36</v>
      </c>
      <c r="I45" s="16" t="e">
        <f>COUNTIF('Регионы РФ'!#REF!,"&gt;0")</f>
        <v>#REF!</v>
      </c>
      <c r="L45" s="16">
        <v>7</v>
      </c>
      <c r="M45" s="12" t="s">
        <v>37</v>
      </c>
      <c r="N45" s="16" t="e">
        <f>COUNTIF(#REF!,"&gt;0")</f>
        <v>#REF!</v>
      </c>
    </row>
    <row r="46" spans="1:14" ht="12.75" customHeight="1">
      <c r="A46" s="13"/>
      <c r="B46" s="13">
        <f>COUNTIF('Москва и М.О.'!A6:A340,"=1,14")</f>
        <v>0</v>
      </c>
      <c r="C46" s="13" t="e">
        <f>'Москва и М.О.'!#REF!</f>
        <v>#REF!</v>
      </c>
      <c r="D46" s="16" t="str">
        <f t="shared" si="2"/>
        <v>-----</v>
      </c>
      <c r="E46" s="17" t="e">
        <f>'Москва и М.О.'!#REF!</f>
        <v>#REF!</v>
      </c>
      <c r="G46" s="16">
        <v>40</v>
      </c>
      <c r="H46" s="26" t="s">
        <v>37</v>
      </c>
      <c r="I46" s="16">
        <f>COUNTIF('Регионы РФ'!A207:A214,"&gt;0")</f>
        <v>7</v>
      </c>
      <c r="L46" s="16">
        <v>8</v>
      </c>
      <c r="M46" s="12" t="s">
        <v>46</v>
      </c>
      <c r="N46" s="16" t="e">
        <f>COUNTIF(#REF!,"&gt;0")</f>
        <v>#REF!</v>
      </c>
    </row>
    <row r="47" spans="1:14" ht="12.75" customHeight="1">
      <c r="A47" s="13"/>
      <c r="B47" s="13">
        <f>COUNTIF('Москва и М.О.'!A6:A340,"=1,15")</f>
        <v>0</v>
      </c>
      <c r="C47" s="13" t="e">
        <f>'Москва и М.О.'!#REF!</f>
        <v>#REF!</v>
      </c>
      <c r="D47" s="16" t="str">
        <f t="shared" si="2"/>
        <v>-----</v>
      </c>
      <c r="E47" s="17" t="e">
        <f>'Москва и М.О.'!#REF!</f>
        <v>#REF!</v>
      </c>
      <c r="G47" s="16">
        <v>41</v>
      </c>
      <c r="H47" s="12" t="s">
        <v>78</v>
      </c>
      <c r="I47" s="16" t="e">
        <f>COUNTIF('Регионы РФ'!#REF!,"&gt;0")</f>
        <v>#REF!</v>
      </c>
      <c r="L47" s="16">
        <v>9</v>
      </c>
      <c r="M47" s="12" t="s">
        <v>136</v>
      </c>
      <c r="N47" s="16" t="e">
        <f>COUNTIF(#REF!,"&gt;0")</f>
        <v>#REF!</v>
      </c>
    </row>
    <row r="48" spans="1:14" ht="12.75" customHeight="1">
      <c r="A48" s="13"/>
      <c r="B48" s="13">
        <f>COUNTIF('Москва и М.О.'!A6:A340,"=1,15")</f>
        <v>0</v>
      </c>
      <c r="C48" s="13" t="e">
        <f>'Москва и М.О.'!#REF!</f>
        <v>#REF!</v>
      </c>
      <c r="D48" s="16" t="str">
        <f t="shared" si="2"/>
        <v>-----</v>
      </c>
      <c r="E48" s="17" t="e">
        <f>'Москва и М.О.'!#REF!</f>
        <v>#REF!</v>
      </c>
      <c r="G48" s="16">
        <v>42</v>
      </c>
      <c r="H48" s="12" t="s">
        <v>42</v>
      </c>
      <c r="I48" s="16">
        <f>COUNTIF('Регионы РФ'!A218:A223,"&gt;0")</f>
        <v>5</v>
      </c>
      <c r="L48" s="16">
        <v>10</v>
      </c>
      <c r="M48" s="12" t="s">
        <v>72</v>
      </c>
      <c r="N48" s="16" t="e">
        <f>COUNTIF(#REF!,"&gt;0")</f>
        <v>#REF!</v>
      </c>
    </row>
    <row r="49" spans="1:13" ht="12.75" customHeight="1">
      <c r="A49" s="13"/>
      <c r="B49" s="16">
        <f>COUNTIF('Москва и М.О.'!A6:A340,"=1,16")</f>
        <v>4</v>
      </c>
      <c r="C49" s="13" t="e">
        <f>'Москва и М.О.'!#REF!</f>
        <v>#REF!</v>
      </c>
      <c r="D49" s="16">
        <f t="shared" si="2"/>
        <v>4</v>
      </c>
      <c r="E49" s="17" t="e">
        <f>'Москва и М.О.'!#REF!</f>
        <v>#REF!</v>
      </c>
      <c r="G49" s="16">
        <v>43</v>
      </c>
      <c r="H49" s="12" t="s">
        <v>84</v>
      </c>
      <c r="I49" s="16">
        <f>COUNTIF('Регионы РФ'!A292:A370,"&gt;0")</f>
        <v>78</v>
      </c>
      <c r="M49" s="12"/>
    </row>
    <row r="50" spans="2:9" ht="12.75">
      <c r="B50" s="16">
        <f>COUNTIF('Москва и М.О.'!A6:A340,"=1,17")</f>
        <v>1</v>
      </c>
      <c r="C50" s="13" t="e">
        <f>'Москва и М.О.'!#REF!</f>
        <v>#REF!</v>
      </c>
      <c r="D50" s="16">
        <f t="shared" si="2"/>
        <v>1</v>
      </c>
      <c r="E50" s="17" t="e">
        <f>'Москва и М.О.'!#REF!</f>
        <v>#REF!</v>
      </c>
      <c r="G50" s="16">
        <v>44</v>
      </c>
      <c r="H50" s="12" t="s">
        <v>140</v>
      </c>
      <c r="I50" s="16">
        <f>COUNTIF('Регионы РФ'!A371:A379,"&gt;0")</f>
        <v>8</v>
      </c>
    </row>
    <row r="51" spans="2:14" ht="12.75">
      <c r="B51" s="16">
        <f>COUNTIF('Москва и М.О.'!A6:A340,"=1,18")</f>
        <v>3</v>
      </c>
      <c r="C51" s="13" t="e">
        <f>'Москва и М.О.'!#REF!</f>
        <v>#REF!</v>
      </c>
      <c r="D51" s="16">
        <f t="shared" si="2"/>
        <v>3</v>
      </c>
      <c r="E51" s="17" t="e">
        <f>'Москва и М.О.'!#REF!</f>
        <v>#REF!</v>
      </c>
      <c r="G51" s="16">
        <v>45</v>
      </c>
      <c r="H51" s="26" t="s">
        <v>141</v>
      </c>
      <c r="I51" s="16">
        <f>COUNTIF('Регионы РФ'!A382:A385,"&gt;0")</f>
        <v>4</v>
      </c>
      <c r="L51" s="319" t="e">
        <f>IF(N51=N36,"Ок","Ошибка")</f>
        <v>#REF!</v>
      </c>
      <c r="M51" s="320" t="s">
        <v>28</v>
      </c>
      <c r="N51" s="319" t="e">
        <f>SUM(N39:N47)</f>
        <v>#REF!</v>
      </c>
    </row>
    <row r="52" spans="2:14" ht="12.75">
      <c r="B52" s="16">
        <f>COUNTIF('Москва и М.О.'!A6:A340,"=1,19")</f>
        <v>0</v>
      </c>
      <c r="C52" s="13" t="e">
        <f>'Москва и М.О.'!#REF!</f>
        <v>#REF!</v>
      </c>
      <c r="D52" s="16" t="str">
        <f t="shared" si="2"/>
        <v>-----</v>
      </c>
      <c r="E52" s="17" t="e">
        <f>'Москва и М.О.'!#REF!</f>
        <v>#REF!</v>
      </c>
      <c r="F52" s="15" t="s">
        <v>65</v>
      </c>
      <c r="G52" s="16">
        <v>46</v>
      </c>
      <c r="H52" s="12" t="s">
        <v>95</v>
      </c>
      <c r="I52" s="16" t="e">
        <f>COUNTIF('Регионы РФ'!#REF!,"&gt;0")</f>
        <v>#REF!</v>
      </c>
      <c r="L52" s="319"/>
      <c r="M52" s="320"/>
      <c r="N52" s="319"/>
    </row>
    <row r="53" spans="2:9" ht="12.75">
      <c r="B53" s="16">
        <f>COUNTIF('Москва и М.О.'!A6:A340,"=1,21")</f>
        <v>0</v>
      </c>
      <c r="C53" s="13" t="e">
        <f>'Москва и М.О.'!#REF!</f>
        <v>#REF!</v>
      </c>
      <c r="D53" s="16" t="str">
        <f t="shared" si="2"/>
        <v>-----</v>
      </c>
      <c r="E53" s="17" t="e">
        <f>'Москва и М.О.'!#REF!</f>
        <v>#REF!</v>
      </c>
      <c r="F53" s="15" t="s">
        <v>66</v>
      </c>
      <c r="G53" s="16">
        <v>47</v>
      </c>
      <c r="H53" s="12" t="s">
        <v>72</v>
      </c>
      <c r="I53" s="16">
        <f>COUNTIF('Регионы РФ'!A406:A411,"&gt;0")</f>
        <v>5</v>
      </c>
    </row>
    <row r="54" spans="2:14" ht="12.75">
      <c r="B54" s="16">
        <f>COUNTIF('Москва и М.О.'!A6:A340,"=1,22")</f>
        <v>0</v>
      </c>
      <c r="C54" s="13" t="e">
        <f>'Москва и М.О.'!#REF!</f>
        <v>#REF!</v>
      </c>
      <c r="D54" s="16" t="str">
        <f t="shared" si="2"/>
        <v>-----</v>
      </c>
      <c r="E54" s="17" t="e">
        <f>'Москва и М.О.'!#REF!</f>
        <v>#REF!</v>
      </c>
      <c r="F54" s="15" t="s">
        <v>67</v>
      </c>
      <c r="G54" s="16">
        <v>48</v>
      </c>
      <c r="H54" s="12" t="s">
        <v>134</v>
      </c>
      <c r="I54" s="16" t="e">
        <f>COUNTIF('Регионы РФ'!#REF!,"&gt;0")</f>
        <v>#REF!</v>
      </c>
      <c r="L54" s="16" t="s">
        <v>1</v>
      </c>
      <c r="M54" s="16" t="s">
        <v>10</v>
      </c>
      <c r="N54" s="16" t="s">
        <v>11</v>
      </c>
    </row>
    <row r="55" spans="2:14" ht="12.75">
      <c r="B55" s="16">
        <f>COUNTIF('Москва и М.О.'!A6:A340,"=1,23")</f>
        <v>0</v>
      </c>
      <c r="C55" s="13" t="e">
        <f>'Москва и М.О.'!#REF!</f>
        <v>#REF!</v>
      </c>
      <c r="D55" s="16" t="str">
        <f t="shared" si="2"/>
        <v>-----</v>
      </c>
      <c r="E55" s="17" t="e">
        <f>'Москва и М.О.'!#REF!</f>
        <v>#REF!</v>
      </c>
      <c r="F55" s="15" t="s">
        <v>68</v>
      </c>
      <c r="G55" s="16">
        <v>49</v>
      </c>
      <c r="H55" s="12" t="s">
        <v>98</v>
      </c>
      <c r="I55" s="16">
        <f>COUNTIF('Регионы РФ'!A263:A264,"&gt;0")</f>
        <v>1</v>
      </c>
      <c r="K55" s="23" t="e">
        <f>COUNTIF(#REF!,"=5,1")</f>
        <v>#REF!</v>
      </c>
      <c r="L55" s="13" t="e">
        <f>#REF!</f>
        <v>#REF!</v>
      </c>
      <c r="M55" s="23" t="e">
        <f aca="true" t="shared" si="3" ref="M55:M70">IF(K55=0,"-----",K55)</f>
        <v>#REF!</v>
      </c>
      <c r="N55" s="319" t="e">
        <f>SUM(K55:K63)</f>
        <v>#REF!</v>
      </c>
    </row>
    <row r="56" spans="2:14" ht="12.75">
      <c r="B56" s="16">
        <f>COUNTIF('Москва и М.О.'!A6:A340,"=1,24")</f>
        <v>0</v>
      </c>
      <c r="C56" s="13" t="e">
        <f>'Москва и М.О.'!#REF!</f>
        <v>#REF!</v>
      </c>
      <c r="D56" s="16" t="str">
        <f t="shared" si="2"/>
        <v>-----</v>
      </c>
      <c r="E56" s="17" t="e">
        <f>'Москва и М.О.'!#REF!</f>
        <v>#REF!</v>
      </c>
      <c r="F56" s="15" t="s">
        <v>35</v>
      </c>
      <c r="G56" s="16">
        <v>50</v>
      </c>
      <c r="H56" s="12" t="s">
        <v>55</v>
      </c>
      <c r="I56" s="16">
        <f>COUNTIF('Регионы РФ'!A417:A423,"&gt;0")</f>
        <v>6</v>
      </c>
      <c r="K56" s="24" t="e">
        <f>COUNTIF(#REF!,"=5,2")</f>
        <v>#REF!</v>
      </c>
      <c r="L56" s="13" t="e">
        <f>#REF!</f>
        <v>#REF!</v>
      </c>
      <c r="M56" s="23" t="e">
        <f t="shared" si="3"/>
        <v>#REF!</v>
      </c>
      <c r="N56" s="319"/>
    </row>
    <row r="57" spans="2:14" ht="12.75">
      <c r="B57" s="16">
        <f>COUNTIF('Москва и М.О.'!A6:A340,"=1,25")</f>
        <v>0</v>
      </c>
      <c r="C57" s="13" t="e">
        <f>'Москва и М.О.'!#REF!</f>
        <v>#REF!</v>
      </c>
      <c r="D57" s="16" t="str">
        <f t="shared" si="2"/>
        <v>-----</v>
      </c>
      <c r="E57" s="17" t="e">
        <f>'Москва и М.О.'!#REF!</f>
        <v>#REF!</v>
      </c>
      <c r="F57" s="15" t="s">
        <v>69</v>
      </c>
      <c r="G57" s="16">
        <v>51</v>
      </c>
      <c r="H57" s="12" t="s">
        <v>45</v>
      </c>
      <c r="I57" s="16" t="e">
        <f>COUNTIF('Регионы РФ'!#REF!,"&gt;0")</f>
        <v>#REF!</v>
      </c>
      <c r="K57" s="24" t="e">
        <f>COUNTIF(#REF!,"=5,3")</f>
        <v>#REF!</v>
      </c>
      <c r="L57" s="13" t="e">
        <f>#REF!</f>
        <v>#REF!</v>
      </c>
      <c r="M57" s="23" t="e">
        <f t="shared" si="3"/>
        <v>#REF!</v>
      </c>
      <c r="N57" s="319"/>
    </row>
    <row r="58" spans="2:14" ht="12.75">
      <c r="B58" s="16">
        <f>COUNTIF('Москва и М.О.'!A6:A340,"=1,26")</f>
        <v>0</v>
      </c>
      <c r="C58" s="13" t="e">
        <f>'Москва и М.О.'!#REF!</f>
        <v>#REF!</v>
      </c>
      <c r="D58" s="16" t="str">
        <f t="shared" si="2"/>
        <v>-----</v>
      </c>
      <c r="E58" s="17" t="e">
        <f>'Москва и М.О.'!#REF!</f>
        <v>#REF!</v>
      </c>
      <c r="G58" s="16">
        <v>52</v>
      </c>
      <c r="H58" s="12" t="s">
        <v>135</v>
      </c>
      <c r="I58" s="16">
        <f>COUNTIF('Регионы РФ'!A265:A291,"&gt;0")</f>
        <v>26</v>
      </c>
      <c r="K58" s="24" t="e">
        <f>COUNTIF(#REF!,"=5,4")</f>
        <v>#REF!</v>
      </c>
      <c r="L58" s="13" t="e">
        <f>#REF!</f>
        <v>#REF!</v>
      </c>
      <c r="M58" s="23" t="e">
        <f t="shared" si="3"/>
        <v>#REF!</v>
      </c>
      <c r="N58" s="319"/>
    </row>
    <row r="59" spans="2:14" ht="12.75">
      <c r="B59" s="16">
        <f>COUNTIF('Москва и М.О.'!A6:A340,"=1,27")</f>
        <v>0</v>
      </c>
      <c r="C59" s="13" t="e">
        <f>'Москва и М.О.'!#REF!</f>
        <v>#REF!</v>
      </c>
      <c r="D59" s="16" t="str">
        <f t="shared" si="2"/>
        <v>-----</v>
      </c>
      <c r="E59" s="17" t="e">
        <f>'Москва и М.О.'!#REF!</f>
        <v>#REF!</v>
      </c>
      <c r="G59" s="16">
        <v>53</v>
      </c>
      <c r="H59" s="17" t="s">
        <v>46</v>
      </c>
      <c r="I59" s="16" t="e">
        <f>COUNTIF('Регионы РФ'!#REF!,"&gt;0")</f>
        <v>#REF!</v>
      </c>
      <c r="K59" s="24" t="e">
        <f>COUNTIF(#REF!,"=5,5")</f>
        <v>#REF!</v>
      </c>
      <c r="L59" s="13" t="e">
        <f>#REF!</f>
        <v>#REF!</v>
      </c>
      <c r="M59" s="23" t="e">
        <f t="shared" si="3"/>
        <v>#REF!</v>
      </c>
      <c r="N59" s="319"/>
    </row>
    <row r="60" spans="2:14" ht="12.75">
      <c r="B60" s="16">
        <f>COUNTIF('Москва и М.О.'!A6:A340,"=1,28")</f>
        <v>0</v>
      </c>
      <c r="C60" s="13" t="e">
        <f>'Москва и М.О.'!#REF!</f>
        <v>#REF!</v>
      </c>
      <c r="D60" s="16" t="str">
        <f t="shared" si="2"/>
        <v>-----</v>
      </c>
      <c r="E60" s="17" t="e">
        <f>'Москва и М.О.'!#REF!</f>
        <v>#REF!</v>
      </c>
      <c r="G60" s="16">
        <v>54</v>
      </c>
      <c r="H60" s="12" t="s">
        <v>130</v>
      </c>
      <c r="I60" s="16" t="e">
        <f>COUNTIF('Регионы РФ'!#REF!,"&gt;0")</f>
        <v>#REF!</v>
      </c>
      <c r="K60" s="24" t="e">
        <f>COUNTIF(#REF!,"=5,6")</f>
        <v>#REF!</v>
      </c>
      <c r="L60" s="13" t="e">
        <f>#REF!</f>
        <v>#REF!</v>
      </c>
      <c r="M60" s="23" t="e">
        <f t="shared" si="3"/>
        <v>#REF!</v>
      </c>
      <c r="N60" s="319"/>
    </row>
    <row r="61" spans="2:14" ht="12.75">
      <c r="B61" s="16">
        <f>COUNTIF('Москва и М.О.'!A6:A340,"=1,29")</f>
        <v>0</v>
      </c>
      <c r="C61" s="13" t="e">
        <f>'Москва и М.О.'!#REF!</f>
        <v>#REF!</v>
      </c>
      <c r="D61" s="16" t="str">
        <f t="shared" si="2"/>
        <v>-----</v>
      </c>
      <c r="E61" s="17" t="e">
        <f>'Москва и М.О.'!#REF!</f>
        <v>#REF!</v>
      </c>
      <c r="G61" s="16">
        <v>55</v>
      </c>
      <c r="H61" s="26" t="s">
        <v>76</v>
      </c>
      <c r="I61" s="16" t="e">
        <f>COUNTIF('Регионы РФ'!#REF!,"&gt;0")</f>
        <v>#REF!</v>
      </c>
      <c r="K61" s="16" t="e">
        <f>COUNTIF(#REF!,"=5,7")</f>
        <v>#REF!</v>
      </c>
      <c r="L61" s="13" t="e">
        <f>#REF!</f>
        <v>#REF!</v>
      </c>
      <c r="M61" s="23" t="e">
        <f t="shared" si="3"/>
        <v>#REF!</v>
      </c>
      <c r="N61" s="319"/>
    </row>
    <row r="62" spans="2:14" ht="12.75">
      <c r="B62" s="16">
        <f>COUNTIF('Москва и М.О.'!A6:A340,"=1,31")</f>
        <v>0</v>
      </c>
      <c r="C62" s="13" t="e">
        <f>'Москва и М.О.'!#REF!</f>
        <v>#REF!</v>
      </c>
      <c r="D62" s="16" t="str">
        <f t="shared" si="2"/>
        <v>-----</v>
      </c>
      <c r="E62" s="17" t="e">
        <f>'Москва и М.О.'!#REF!</f>
        <v>#REF!</v>
      </c>
      <c r="G62" s="16">
        <v>56</v>
      </c>
      <c r="H62" s="26" t="s">
        <v>61</v>
      </c>
      <c r="I62" s="16">
        <f>COUNTIF('Регионы РФ'!A426:A427,"&gt;0")</f>
        <v>1</v>
      </c>
      <c r="K62" s="16" t="e">
        <f>COUNTIF(#REF!,"=5,8")</f>
        <v>#REF!</v>
      </c>
      <c r="L62" s="13" t="e">
        <f>#REF!</f>
        <v>#REF!</v>
      </c>
      <c r="M62" s="23" t="e">
        <f t="shared" si="3"/>
        <v>#REF!</v>
      </c>
      <c r="N62" s="319"/>
    </row>
    <row r="63" spans="2:14" ht="12.75">
      <c r="B63" s="16">
        <f>COUNTIF('Москва и М.О.'!A6:A340,"=1,32")</f>
        <v>0</v>
      </c>
      <c r="C63" s="13" t="e">
        <f>'Москва и М.О.'!#REF!</f>
        <v>#REF!</v>
      </c>
      <c r="D63" s="16" t="str">
        <f t="shared" si="2"/>
        <v>-----</v>
      </c>
      <c r="E63" s="17" t="e">
        <f>'Москва и М.О.'!#REF!</f>
        <v>#REF!</v>
      </c>
      <c r="G63" s="16">
        <v>57</v>
      </c>
      <c r="H63" s="12" t="s">
        <v>62</v>
      </c>
      <c r="I63" s="16" t="e">
        <f>COUNTIF('Регионы РФ'!#REF!,"&gt;0")</f>
        <v>#REF!</v>
      </c>
      <c r="K63" s="23" t="e">
        <f>COUNTIF(#REF!,"=5,9")</f>
        <v>#REF!</v>
      </c>
      <c r="L63" s="13" t="e">
        <f>#REF!</f>
        <v>#REF!</v>
      </c>
      <c r="M63" s="23" t="e">
        <f t="shared" si="3"/>
        <v>#REF!</v>
      </c>
      <c r="N63" s="319"/>
    </row>
    <row r="64" spans="2:14" ht="12.75">
      <c r="B64" s="16">
        <f>COUNTIF('Москва и М.О.'!A6:A340,"=1,33")</f>
        <v>0</v>
      </c>
      <c r="C64" s="13" t="e">
        <f>'Москва и М.О.'!#REF!</f>
        <v>#REF!</v>
      </c>
      <c r="D64" s="16" t="str">
        <f t="shared" si="2"/>
        <v>-----</v>
      </c>
      <c r="E64" s="17" t="e">
        <f>'Москва и М.О.'!#REF!</f>
        <v>#REF!</v>
      </c>
      <c r="G64" s="16">
        <v>58</v>
      </c>
      <c r="H64" s="12" t="s">
        <v>99</v>
      </c>
      <c r="I64" s="16" t="e">
        <f>COUNTIF('Регионы РФ'!#REF!,"&gt;0")</f>
        <v>#REF!</v>
      </c>
      <c r="K64" s="16" t="e">
        <f>COUNTIF(#REF!,"=5,11")</f>
        <v>#REF!</v>
      </c>
      <c r="L64" s="13" t="e">
        <f>#REF!</f>
        <v>#REF!</v>
      </c>
      <c r="M64" s="23" t="e">
        <f t="shared" si="3"/>
        <v>#REF!</v>
      </c>
      <c r="N64" s="319"/>
    </row>
    <row r="65" spans="2:14" ht="12.75">
      <c r="B65" s="16">
        <f>COUNTIF('Москва и М.О.'!A6:A340,"=1,34")</f>
        <v>0</v>
      </c>
      <c r="C65" s="13" t="e">
        <f>'Москва и М.О.'!#REF!</f>
        <v>#REF!</v>
      </c>
      <c r="D65" s="16" t="str">
        <f t="shared" si="2"/>
        <v>-----</v>
      </c>
      <c r="E65" s="17" t="e">
        <f>'Москва и М.О.'!#REF!</f>
        <v>#REF!</v>
      </c>
      <c r="G65" s="16">
        <v>59</v>
      </c>
      <c r="H65" s="12" t="s">
        <v>136</v>
      </c>
      <c r="I65" s="16" t="e">
        <f>COUNTIF('Регионы РФ'!#REF!,"&gt;0")</f>
        <v>#REF!</v>
      </c>
      <c r="K65" s="16" t="e">
        <f>COUNTIF(#REF!,"=5,12")</f>
        <v>#REF!</v>
      </c>
      <c r="L65" s="13" t="e">
        <f>#REF!</f>
        <v>#REF!</v>
      </c>
      <c r="M65" s="23" t="e">
        <f t="shared" si="3"/>
        <v>#REF!</v>
      </c>
      <c r="N65" s="319"/>
    </row>
    <row r="66" spans="2:14" ht="12.75">
      <c r="B66" s="16">
        <f>COUNTIF('Москва и М.О.'!A$6:A$340,"=1,35")</f>
        <v>0</v>
      </c>
      <c r="C66" s="13" t="e">
        <f>'Москва и М.О.'!#REF!</f>
        <v>#REF!</v>
      </c>
      <c r="D66" s="16" t="str">
        <f t="shared" si="2"/>
        <v>-----</v>
      </c>
      <c r="E66" s="17" t="e">
        <f>'Москва и М.О.'!#REF!</f>
        <v>#REF!</v>
      </c>
      <c r="G66" s="16">
        <v>60</v>
      </c>
      <c r="H66" s="12" t="s">
        <v>40</v>
      </c>
      <c r="I66" s="16" t="e">
        <f>COUNTIF('Регионы РФ'!#REF!,"&gt;0")</f>
        <v>#REF!</v>
      </c>
      <c r="K66" s="16" t="e">
        <f>COUNTIF(#REF!,"=5,13")</f>
        <v>#REF!</v>
      </c>
      <c r="L66" s="13" t="e">
        <f>#REF!</f>
        <v>#REF!</v>
      </c>
      <c r="M66" s="23" t="e">
        <f t="shared" si="3"/>
        <v>#REF!</v>
      </c>
      <c r="N66" s="319"/>
    </row>
    <row r="67" spans="2:14" ht="12.75">
      <c r="B67" s="16">
        <f>COUNTIF('Москва и М.О.'!A$6:A$340,"=1,36")</f>
        <v>0</v>
      </c>
      <c r="C67" s="13" t="e">
        <f>'Москва и М.О.'!#REF!</f>
        <v>#REF!</v>
      </c>
      <c r="D67" s="16" t="str">
        <f t="shared" si="2"/>
        <v>-----</v>
      </c>
      <c r="E67" s="17" t="e">
        <f>'Москва и М.О.'!#REF!</f>
        <v>#REF!</v>
      </c>
      <c r="G67" s="16">
        <v>61</v>
      </c>
      <c r="H67" s="12" t="s">
        <v>71</v>
      </c>
      <c r="I67" s="16" t="e">
        <f>COUNTIF('Регионы РФ'!#REF!,"&gt;0")</f>
        <v>#REF!</v>
      </c>
      <c r="K67" s="16" t="e">
        <f>COUNTIF(#REF!,"=5,14")</f>
        <v>#REF!</v>
      </c>
      <c r="L67" s="13" t="e">
        <f>#REF!</f>
        <v>#REF!</v>
      </c>
      <c r="M67" s="23" t="e">
        <f t="shared" si="3"/>
        <v>#REF!</v>
      </c>
      <c r="N67" s="319"/>
    </row>
    <row r="68" spans="2:14" ht="12.75">
      <c r="B68" s="16">
        <f>COUNTIF('Москва и М.О.'!A$6:A$340,"=1,37")</f>
        <v>0</v>
      </c>
      <c r="C68" s="13" t="e">
        <f>'Москва и М.О.'!#REF!</f>
        <v>#REF!</v>
      </c>
      <c r="D68" s="16" t="str">
        <f t="shared" si="2"/>
        <v>-----</v>
      </c>
      <c r="E68" s="17" t="e">
        <f>'Москва и М.О.'!#REF!</f>
        <v>#REF!</v>
      </c>
      <c r="G68" s="16">
        <v>62</v>
      </c>
      <c r="H68" s="12" t="s">
        <v>16</v>
      </c>
      <c r="I68" s="16">
        <f>COUNTIF('Регионы РФ'!A440:A469,"&gt;0")</f>
        <v>29</v>
      </c>
      <c r="K68" s="16" t="e">
        <f>COUNTIF(#REF!,"=5,15")</f>
        <v>#REF!</v>
      </c>
      <c r="L68" s="13" t="e">
        <f>#REF!</f>
        <v>#REF!</v>
      </c>
      <c r="M68" s="23" t="e">
        <f t="shared" si="3"/>
        <v>#REF!</v>
      </c>
      <c r="N68" s="319"/>
    </row>
    <row r="69" spans="2:14" ht="12.75">
      <c r="B69" s="16">
        <f>COUNTIF('Москва и М.О.'!A$6:A$340,"=1,38")</f>
        <v>0</v>
      </c>
      <c r="C69" s="13" t="e">
        <f>'Москва и М.О.'!#REF!</f>
        <v>#REF!</v>
      </c>
      <c r="D69" s="16" t="str">
        <f t="shared" si="2"/>
        <v>-----</v>
      </c>
      <c r="E69" s="17" t="e">
        <f>'Москва и М.О.'!#REF!</f>
        <v>#REF!</v>
      </c>
      <c r="G69" s="16">
        <v>63</v>
      </c>
      <c r="H69" s="12" t="s">
        <v>80</v>
      </c>
      <c r="I69" s="16" t="e">
        <f>COUNTIF('Регионы РФ'!#REF!,"&gt;0")</f>
        <v>#REF!</v>
      </c>
      <c r="K69" s="16" t="e">
        <f>COUNTIF(#REF!,"=5,16")</f>
        <v>#REF!</v>
      </c>
      <c r="L69" s="13" t="e">
        <f>#REF!</f>
        <v>#REF!</v>
      </c>
      <c r="M69" s="23" t="e">
        <f t="shared" si="3"/>
        <v>#REF!</v>
      </c>
      <c r="N69" s="319"/>
    </row>
    <row r="70" spans="2:14" ht="12.75">
      <c r="B70" s="16">
        <f>COUNTIF('Москва и М.О.'!A$6:A$340,"=1,39")</f>
        <v>7</v>
      </c>
      <c r="C70" s="13" t="e">
        <f>'Москва и М.О.'!#REF!</f>
        <v>#REF!</v>
      </c>
      <c r="D70" s="16">
        <f t="shared" si="2"/>
        <v>7</v>
      </c>
      <c r="E70" s="17" t="e">
        <f>'Москва и М.О.'!#REF!</f>
        <v>#REF!</v>
      </c>
      <c r="G70" s="16">
        <v>64</v>
      </c>
      <c r="H70" s="26" t="s">
        <v>81</v>
      </c>
      <c r="I70" s="16">
        <f>COUNTIF('Регионы РФ'!A470:A479,"&gt;0")</f>
        <v>9</v>
      </c>
      <c r="K70" s="16" t="e">
        <f>COUNTIF(#REF!,"=5,17")</f>
        <v>#REF!</v>
      </c>
      <c r="L70" s="16" t="s">
        <v>12</v>
      </c>
      <c r="M70" s="23" t="e">
        <f t="shared" si="3"/>
        <v>#REF!</v>
      </c>
      <c r="N70" s="319"/>
    </row>
    <row r="71" spans="2:13" ht="12.75">
      <c r="B71" s="16">
        <f>COUNTIF('Москва и М.О.'!A$6:A$340,"=1,40")</f>
        <v>0</v>
      </c>
      <c r="C71" s="13" t="e">
        <f>'Москва и М.О.'!#REF!</f>
        <v>#REF!</v>
      </c>
      <c r="D71" s="16" t="str">
        <f t="shared" si="2"/>
        <v>-----</v>
      </c>
      <c r="E71" s="17" t="e">
        <f>'Москва и М.О.'!#REF!</f>
        <v>#REF!</v>
      </c>
      <c r="G71" s="16">
        <v>65</v>
      </c>
      <c r="H71" s="26" t="s">
        <v>127</v>
      </c>
      <c r="I71" s="16" t="e">
        <f>COUNTIF('Регионы РФ'!#REF!,"&gt;0")</f>
        <v>#REF!</v>
      </c>
      <c r="M71" s="23"/>
    </row>
    <row r="72" spans="2:13" ht="12.75">
      <c r="B72" s="16">
        <f>COUNTIF('Москва и М.О.'!A$6:A$340,"=1,41")</f>
        <v>0</v>
      </c>
      <c r="C72" s="13" t="e">
        <f>'Москва и М.О.'!#REF!</f>
        <v>#REF!</v>
      </c>
      <c r="D72" s="16" t="str">
        <f t="shared" si="2"/>
        <v>-----</v>
      </c>
      <c r="E72" s="17" t="e">
        <f>'Москва и М.О.'!#REF!</f>
        <v>#REF!</v>
      </c>
      <c r="G72" s="16">
        <v>66</v>
      </c>
      <c r="H72" s="12" t="s">
        <v>128</v>
      </c>
      <c r="I72" s="16" t="e">
        <f>COUNTIF('Регионы РФ'!#REF!,"&gt;0")</f>
        <v>#REF!</v>
      </c>
      <c r="M72" s="23"/>
    </row>
    <row r="73" spans="12:14" ht="12.75">
      <c r="L73" s="321" t="s">
        <v>13</v>
      </c>
      <c r="M73" s="321"/>
      <c r="N73" s="321"/>
    </row>
    <row r="74" spans="4:14" ht="12.75">
      <c r="D74" s="12"/>
      <c r="G74" s="319" t="e">
        <f>IF(I74=I4,"Ок","Ошибка")</f>
        <v>#REF!</v>
      </c>
      <c r="H74" s="320" t="s">
        <v>28</v>
      </c>
      <c r="I74" s="319" t="e">
        <f>SUM(I7:I72)</f>
        <v>#REF!</v>
      </c>
      <c r="L74" s="321"/>
      <c r="M74" s="321"/>
      <c r="N74" s="321"/>
    </row>
    <row r="75" spans="4:14" ht="18">
      <c r="D75" s="12"/>
      <c r="G75" s="319"/>
      <c r="H75" s="320"/>
      <c r="I75" s="319"/>
      <c r="J75" s="23"/>
      <c r="M75" s="18" t="s">
        <v>14</v>
      </c>
      <c r="N75" s="18" t="e">
        <f>COUNTIF(#REF!,"&gt;0")</f>
        <v>#REF!</v>
      </c>
    </row>
    <row r="76" spans="4:14" ht="18">
      <c r="D76" s="12"/>
      <c r="G76" s="319" t="str">
        <f>IF(I76=I4,"Ок","Ошибка")</f>
        <v>Ошибка</v>
      </c>
      <c r="H76" s="320"/>
      <c r="I76" s="319">
        <f>SUM(H80:H121)</f>
        <v>36</v>
      </c>
      <c r="J76" s="24"/>
      <c r="M76" s="20"/>
      <c r="N76" s="18"/>
    </row>
    <row r="77" spans="4:14" ht="15">
      <c r="D77" s="26"/>
      <c r="G77" s="319"/>
      <c r="H77" s="320"/>
      <c r="I77" s="319"/>
      <c r="J77" s="24"/>
      <c r="L77" s="21" t="s">
        <v>26</v>
      </c>
      <c r="M77" s="21" t="s">
        <v>85</v>
      </c>
      <c r="N77" s="21" t="s">
        <v>27</v>
      </c>
    </row>
    <row r="78" spans="4:14" ht="12.75">
      <c r="D78" s="26"/>
      <c r="J78" s="24"/>
      <c r="L78" s="16" t="s">
        <v>103</v>
      </c>
      <c r="M78" s="17" t="s">
        <v>60</v>
      </c>
      <c r="N78" s="16" t="e">
        <f>COUNTIF(#REF!,"&gt;0")</f>
        <v>#REF!</v>
      </c>
    </row>
    <row r="79" spans="4:14" ht="12.75">
      <c r="D79" s="12"/>
      <c r="F79" s="15" t="s">
        <v>27</v>
      </c>
      <c r="G79" s="16" t="s">
        <v>1</v>
      </c>
      <c r="H79" s="16" t="s">
        <v>27</v>
      </c>
      <c r="I79" s="16" t="s">
        <v>2</v>
      </c>
      <c r="J79" s="24" t="s">
        <v>44</v>
      </c>
      <c r="L79" s="16">
        <v>1</v>
      </c>
      <c r="M79" s="17" t="s">
        <v>104</v>
      </c>
      <c r="N79" s="16" t="e">
        <f>COUNTIF(#REF!,"&gt;0")</f>
        <v>#REF!</v>
      </c>
    </row>
    <row r="80" spans="4:14" ht="12.75">
      <c r="D80" s="26"/>
      <c r="F80" s="15">
        <f>COUNTIF('Регионы РФ'!A6:A1014,"=2,1")</f>
        <v>0</v>
      </c>
      <c r="G80" s="13" t="e">
        <f>'Регионы РФ'!#REF!</f>
        <v>#REF!</v>
      </c>
      <c r="H80" s="16" t="str">
        <f aca="true" t="shared" si="4" ref="H80:H121">IF(F80=0,"-----",F80)</f>
        <v>-----</v>
      </c>
      <c r="I80" s="17" t="e">
        <f>'Регионы РФ'!#REF!</f>
        <v>#REF!</v>
      </c>
      <c r="J80" s="24"/>
      <c r="L80" s="16">
        <v>2</v>
      </c>
      <c r="M80" s="15" t="s">
        <v>109</v>
      </c>
      <c r="N80" s="16" t="e">
        <f>COUNTIF(#REF!,"&gt;0")</f>
        <v>#REF!</v>
      </c>
    </row>
    <row r="81" spans="4:14" ht="12.75">
      <c r="D81" s="12"/>
      <c r="F81" s="15">
        <f>COUNTIF('Регионы РФ'!A6:A1014,"=2,2")</f>
        <v>0</v>
      </c>
      <c r="G81" s="13" t="e">
        <f>'Регионы РФ'!#REF!</f>
        <v>#REF!</v>
      </c>
      <c r="H81" s="16" t="str">
        <f t="shared" si="4"/>
        <v>-----</v>
      </c>
      <c r="I81" s="17" t="e">
        <f>'Регионы РФ'!#REF!</f>
        <v>#REF!</v>
      </c>
      <c r="J81" s="24" t="s">
        <v>100</v>
      </c>
      <c r="L81" s="16">
        <v>3</v>
      </c>
      <c r="M81" s="15" t="s">
        <v>133</v>
      </c>
      <c r="N81" s="16" t="e">
        <f>COUNTIF(#REF!,"&gt;0")</f>
        <v>#REF!</v>
      </c>
    </row>
    <row r="82" spans="4:14" ht="12.75">
      <c r="D82" s="12"/>
      <c r="F82" s="15">
        <f>COUNTIF('Регионы РФ'!A6:A1014,"=2,3")</f>
        <v>0</v>
      </c>
      <c r="G82" s="13" t="e">
        <f>'Регионы РФ'!#REF!</f>
        <v>#REF!</v>
      </c>
      <c r="H82" s="16" t="str">
        <f t="shared" si="4"/>
        <v>-----</v>
      </c>
      <c r="I82" s="17" t="e">
        <f>'Регионы РФ'!#REF!</f>
        <v>#REF!</v>
      </c>
      <c r="J82" s="17"/>
      <c r="L82" s="16">
        <v>4</v>
      </c>
      <c r="M82" s="15" t="s">
        <v>38</v>
      </c>
      <c r="N82" s="16" t="e">
        <f>COUNTIF(#REF!,"&gt;0")</f>
        <v>#REF!</v>
      </c>
    </row>
    <row r="83" spans="4:14" ht="12.75">
      <c r="D83" s="26"/>
      <c r="F83" s="15">
        <f>COUNTIF('Регионы РФ'!A6:A1014,"=2,4")</f>
        <v>0</v>
      </c>
      <c r="G83" s="13" t="e">
        <f>'Регионы РФ'!#REF!</f>
        <v>#REF!</v>
      </c>
      <c r="H83" s="16" t="str">
        <f t="shared" si="4"/>
        <v>-----</v>
      </c>
      <c r="I83" s="17" t="e">
        <f>'Регионы РФ'!#REF!</f>
        <v>#REF!</v>
      </c>
      <c r="J83" s="17" t="s">
        <v>101</v>
      </c>
      <c r="L83" s="16">
        <v>5</v>
      </c>
      <c r="M83" s="15" t="s">
        <v>52</v>
      </c>
      <c r="N83" s="16" t="e">
        <f>COUNTIF(#REF!,"&gt;0")</f>
        <v>#REF!</v>
      </c>
    </row>
    <row r="84" spans="4:14" ht="12.75">
      <c r="D84" s="12"/>
      <c r="F84" s="15">
        <f>COUNTIF('Регионы РФ'!A6:A1014,"=2,5")</f>
        <v>0</v>
      </c>
      <c r="G84" s="13" t="e">
        <f>'Регионы РФ'!#REF!</f>
        <v>#REF!</v>
      </c>
      <c r="H84" s="16" t="str">
        <f t="shared" si="4"/>
        <v>-----</v>
      </c>
      <c r="I84" s="17" t="e">
        <f>'Регионы РФ'!#REF!</f>
        <v>#REF!</v>
      </c>
      <c r="J84" s="17"/>
      <c r="L84" s="16">
        <v>6</v>
      </c>
      <c r="M84" s="15" t="s">
        <v>18</v>
      </c>
      <c r="N84" s="16" t="e">
        <f>COUNTIF(#REF!,"&gt;0")</f>
        <v>#REF!</v>
      </c>
    </row>
    <row r="85" spans="4:14" ht="12.75">
      <c r="D85" s="12"/>
      <c r="F85" s="15">
        <f>COUNTIF('Регионы РФ'!A6:A1014,"=2,6")</f>
        <v>0</v>
      </c>
      <c r="G85" s="13" t="e">
        <f>'Регионы РФ'!#REF!</f>
        <v>#REF!</v>
      </c>
      <c r="H85" s="16" t="str">
        <f t="shared" si="4"/>
        <v>-----</v>
      </c>
      <c r="I85" s="17" t="e">
        <f>'Регионы РФ'!#REF!</f>
        <v>#REF!</v>
      </c>
      <c r="J85" s="17"/>
      <c r="L85" s="16">
        <v>7</v>
      </c>
      <c r="M85" s="15" t="s">
        <v>39</v>
      </c>
      <c r="N85" s="16" t="e">
        <f>COUNTIF(#REF!,"&gt;0")</f>
        <v>#REF!</v>
      </c>
    </row>
    <row r="86" spans="4:15" ht="12.75">
      <c r="D86" s="12"/>
      <c r="F86" s="15">
        <f>COUNTIF('Регионы РФ'!A6:A1014,"=2,7")</f>
        <v>0</v>
      </c>
      <c r="G86" s="13" t="e">
        <f>'Регионы РФ'!#REF!</f>
        <v>#REF!</v>
      </c>
      <c r="H86" s="16" t="str">
        <f t="shared" si="4"/>
        <v>-----</v>
      </c>
      <c r="I86" s="17" t="e">
        <f>'Регионы РФ'!#REF!</f>
        <v>#REF!</v>
      </c>
      <c r="J86" s="17" t="s">
        <v>142</v>
      </c>
      <c r="L86" s="16">
        <v>8</v>
      </c>
      <c r="M86" s="15" t="s">
        <v>53</v>
      </c>
      <c r="N86" s="16" t="e">
        <f>COUNTIF(#REF!,"&gt;0")</f>
        <v>#REF!</v>
      </c>
      <c r="O86" s="23"/>
    </row>
    <row r="87" spans="4:14" ht="12.75">
      <c r="D87" s="12"/>
      <c r="F87" s="15">
        <f>COUNTIF('Регионы РФ'!A6:A1014,"=2,8")</f>
        <v>0</v>
      </c>
      <c r="G87" s="13" t="e">
        <f>'Регионы РФ'!#REF!</f>
        <v>#REF!</v>
      </c>
      <c r="H87" s="16" t="str">
        <f t="shared" si="4"/>
        <v>-----</v>
      </c>
      <c r="I87" s="17" t="e">
        <f>'Регионы РФ'!#REF!</f>
        <v>#REF!</v>
      </c>
      <c r="J87" s="17"/>
      <c r="L87" s="16">
        <v>9</v>
      </c>
      <c r="M87" s="15" t="s">
        <v>93</v>
      </c>
      <c r="N87" s="16" t="e">
        <f>COUNTIF(#REF!,"&gt;0")</f>
        <v>#REF!</v>
      </c>
    </row>
    <row r="88" spans="4:14" ht="12.75">
      <c r="D88" s="26"/>
      <c r="F88" s="15">
        <f>COUNTIF('Регионы РФ'!A6:A1014,"=2,9")</f>
        <v>0</v>
      </c>
      <c r="G88" s="13" t="e">
        <f>'Регионы РФ'!#REF!</f>
        <v>#REF!</v>
      </c>
      <c r="H88" s="16" t="str">
        <f t="shared" si="4"/>
        <v>-----</v>
      </c>
      <c r="I88" s="17" t="e">
        <f>'Регионы РФ'!#REF!</f>
        <v>#REF!</v>
      </c>
      <c r="J88" s="17"/>
      <c r="K88" s="23" t="e">
        <f>COUNTIF(#REF!,"=4,1")</f>
        <v>#REF!</v>
      </c>
      <c r="L88" s="16">
        <v>10</v>
      </c>
      <c r="M88" s="15" t="s">
        <v>131</v>
      </c>
      <c r="N88" s="16" t="e">
        <f>COUNTIF(#REF!,"&gt;0")</f>
        <v>#REF!</v>
      </c>
    </row>
    <row r="89" spans="4:13" ht="12.75">
      <c r="D89" s="12"/>
      <c r="F89" s="15">
        <f>COUNTIF('Регионы РФ'!A6:A1014,"=2,11")</f>
        <v>0</v>
      </c>
      <c r="G89" s="13" t="e">
        <f>'Регионы РФ'!#REF!</f>
        <v>#REF!</v>
      </c>
      <c r="H89" s="16" t="str">
        <f t="shared" si="4"/>
        <v>-----</v>
      </c>
      <c r="I89" s="17" t="e">
        <f>'Регионы РФ'!#REF!</f>
        <v>#REF!</v>
      </c>
      <c r="J89" s="17" t="s">
        <v>19</v>
      </c>
      <c r="K89" s="24" t="e">
        <f>COUNTIF(#REF!,"=4,2")</f>
        <v>#REF!</v>
      </c>
      <c r="M89" s="15"/>
    </row>
    <row r="90" spans="4:14" ht="12.75">
      <c r="D90" s="12"/>
      <c r="F90" s="15">
        <f>COUNTIF('Регионы РФ'!A6:A1014,"=2,12")</f>
        <v>0</v>
      </c>
      <c r="G90" s="13" t="e">
        <f>'Регионы РФ'!#REF!</f>
        <v>#REF!</v>
      </c>
      <c r="H90" s="16" t="str">
        <f t="shared" si="4"/>
        <v>-----</v>
      </c>
      <c r="I90" s="17" t="e">
        <f>'Регионы РФ'!#REF!</f>
        <v>#REF!</v>
      </c>
      <c r="J90" s="17"/>
      <c r="K90" s="24" t="e">
        <f>COUNTIF(#REF!,"=4,3")</f>
        <v>#REF!</v>
      </c>
      <c r="L90" s="16" t="s">
        <v>88</v>
      </c>
      <c r="M90" s="17" t="s">
        <v>107</v>
      </c>
      <c r="N90" s="16" t="e">
        <f>COUNTIF(#REF!,"&gt;0")</f>
        <v>#REF!</v>
      </c>
    </row>
    <row r="91" spans="4:11" ht="12.75">
      <c r="D91" s="12"/>
      <c r="F91" s="15">
        <f>COUNTIF('Регионы РФ'!A6:A1014,"=2,13")</f>
        <v>0</v>
      </c>
      <c r="G91" s="13" t="e">
        <f>'Регионы РФ'!#REF!</f>
        <v>#REF!</v>
      </c>
      <c r="H91" s="16" t="str">
        <f t="shared" si="4"/>
        <v>-----</v>
      </c>
      <c r="I91" s="17" t="e">
        <f>'Регионы РФ'!#REF!</f>
        <v>#REF!</v>
      </c>
      <c r="J91" s="17"/>
      <c r="K91" s="24" t="e">
        <f>COUNTIF(#REF!,"=4,4")</f>
        <v>#REF!</v>
      </c>
    </row>
    <row r="92" spans="4:14" ht="12.75">
      <c r="D92" s="26"/>
      <c r="F92" s="15">
        <f>COUNTIF('Регионы РФ'!A6:A1014,"=2,14")</f>
        <v>0</v>
      </c>
      <c r="G92" s="13" t="e">
        <f>'Регионы РФ'!#REF!</f>
        <v>#REF!</v>
      </c>
      <c r="H92" s="16" t="str">
        <f t="shared" si="4"/>
        <v>-----</v>
      </c>
      <c r="I92" s="17" t="e">
        <f>'Регионы РФ'!#REF!</f>
        <v>#REF!</v>
      </c>
      <c r="J92" s="17"/>
      <c r="K92" s="24" t="e">
        <f>COUNTIF(#REF!,"=4,5")</f>
        <v>#REF!</v>
      </c>
      <c r="L92" s="319" t="e">
        <f>IF(N92=N75,"Ок","Ошибка")</f>
        <v>#REF!</v>
      </c>
      <c r="M92" s="320" t="s">
        <v>28</v>
      </c>
      <c r="N92" s="319" t="e">
        <f>SUM(N79:N90)</f>
        <v>#REF!</v>
      </c>
    </row>
    <row r="93" spans="4:14" ht="12.75">
      <c r="D93" s="12"/>
      <c r="F93" s="15">
        <f>COUNTIF('Регионы РФ'!A6:A1014,"=2,15")</f>
        <v>0</v>
      </c>
      <c r="G93" s="13" t="e">
        <f>'Регионы РФ'!#REF!</f>
        <v>#REF!</v>
      </c>
      <c r="H93" s="16" t="str">
        <f t="shared" si="4"/>
        <v>-----</v>
      </c>
      <c r="I93" s="17" t="e">
        <f>'Регионы РФ'!#REF!</f>
        <v>#REF!</v>
      </c>
      <c r="J93" s="17"/>
      <c r="K93" s="24" t="e">
        <f>COUNTIF(#REF!,"=4,6")</f>
        <v>#REF!</v>
      </c>
      <c r="L93" s="319"/>
      <c r="M93" s="320"/>
      <c r="N93" s="319"/>
    </row>
    <row r="94" spans="4:14" ht="12.75">
      <c r="D94" s="12"/>
      <c r="F94" s="15">
        <f>COUNTIF('Регионы РФ'!A6:A1014,"=2,16")</f>
        <v>0</v>
      </c>
      <c r="G94" s="13" t="e">
        <f>'Регионы РФ'!#REF!</f>
        <v>#REF!</v>
      </c>
      <c r="H94" s="16" t="str">
        <f t="shared" si="4"/>
        <v>-----</v>
      </c>
      <c r="I94" s="17" t="e">
        <f>'Регионы РФ'!#REF!</f>
        <v>#REF!</v>
      </c>
      <c r="J94" s="17"/>
      <c r="K94" s="24" t="e">
        <f>COUNTIF(#REF!,"=4,7")</f>
        <v>#REF!</v>
      </c>
      <c r="L94" s="319" t="e">
        <f>IF(N94=N75,"Ок","Ошибка")</f>
        <v>#REF!</v>
      </c>
      <c r="M94" s="320"/>
      <c r="N94" s="319" t="e">
        <f>SUM(M99:M105)</f>
        <v>#REF!</v>
      </c>
    </row>
    <row r="95" spans="4:14" ht="12.75">
      <c r="D95" s="12"/>
      <c r="F95" s="15">
        <f>COUNTIF('Регионы РФ'!A6:A1014,"=2,17")</f>
        <v>0</v>
      </c>
      <c r="G95" s="13" t="e">
        <f>'Регионы РФ'!#REF!</f>
        <v>#REF!</v>
      </c>
      <c r="H95" s="16" t="str">
        <f t="shared" si="4"/>
        <v>-----</v>
      </c>
      <c r="I95" s="17" t="e">
        <f>'Регионы РФ'!#REF!</f>
        <v>#REF!</v>
      </c>
      <c r="J95" s="17"/>
      <c r="K95" s="16" t="e">
        <f>COUNTIF(#REF!,"=4,8")</f>
        <v>#REF!</v>
      </c>
      <c r="L95" s="319"/>
      <c r="M95" s="320"/>
      <c r="N95" s="319"/>
    </row>
    <row r="96" spans="4:13" ht="12.75">
      <c r="D96" s="26"/>
      <c r="F96" s="15">
        <f>COUNTIF('Регионы РФ'!A6:A1014,"=2,18")</f>
        <v>14</v>
      </c>
      <c r="G96" s="13" t="e">
        <f>'Регионы РФ'!#REF!</f>
        <v>#REF!</v>
      </c>
      <c r="H96" s="16">
        <f t="shared" si="4"/>
        <v>14</v>
      </c>
      <c r="I96" s="17" t="e">
        <f>'Регионы РФ'!#REF!</f>
        <v>#REF!</v>
      </c>
      <c r="J96" s="17" t="s">
        <v>97</v>
      </c>
      <c r="K96" s="16" t="e">
        <f>COUNTIF(#REF!,"=4,9")</f>
        <v>#REF!</v>
      </c>
      <c r="M96" s="25"/>
    </row>
    <row r="97" spans="4:11" ht="12.75">
      <c r="D97" s="12"/>
      <c r="F97" s="15">
        <f>COUNTIF('Регионы РФ'!A6:A1014,"=2,19")</f>
        <v>0</v>
      </c>
      <c r="G97" s="13" t="e">
        <f>'Регионы РФ'!#REF!</f>
        <v>#REF!</v>
      </c>
      <c r="H97" s="16" t="str">
        <f t="shared" si="4"/>
        <v>-----</v>
      </c>
      <c r="I97" s="17" t="e">
        <f>'Регионы РФ'!#REF!</f>
        <v>#REF!</v>
      </c>
      <c r="J97" s="17"/>
      <c r="K97" s="16" t="e">
        <f>COUNTIF(#REF!,"=4,11")</f>
        <v>#REF!</v>
      </c>
    </row>
    <row r="98" spans="4:14" ht="12.75">
      <c r="D98" s="26"/>
      <c r="F98" s="15">
        <f>COUNTIF('Регионы РФ'!A6:A1014,"=2,21")</f>
        <v>0</v>
      </c>
      <c r="G98" s="13" t="e">
        <f>'Регионы РФ'!#REF!</f>
        <v>#REF!</v>
      </c>
      <c r="H98" s="16" t="str">
        <f t="shared" si="4"/>
        <v>-----</v>
      </c>
      <c r="I98" s="17" t="e">
        <f>'Регионы РФ'!#REF!</f>
        <v>#REF!</v>
      </c>
      <c r="J98" s="17" t="s">
        <v>57</v>
      </c>
      <c r="K98" s="16" t="e">
        <f>COUNTIF(#REF!,"=4,12")</f>
        <v>#REF!</v>
      </c>
      <c r="L98" s="16" t="s">
        <v>1</v>
      </c>
      <c r="M98" s="16" t="s">
        <v>15</v>
      </c>
      <c r="N98" s="16" t="s">
        <v>2</v>
      </c>
    </row>
    <row r="99" spans="4:15" ht="12.75">
      <c r="D99" s="26"/>
      <c r="F99" s="15">
        <f>COUNTIF('Регионы РФ'!A6:A1014,"=2,22")</f>
        <v>0</v>
      </c>
      <c r="G99" s="13" t="e">
        <f>'Регионы РФ'!#REF!</f>
        <v>#REF!</v>
      </c>
      <c r="H99" s="16" t="str">
        <f t="shared" si="4"/>
        <v>-----</v>
      </c>
      <c r="I99" s="17" t="e">
        <f>'Регионы РФ'!#REF!</f>
        <v>#REF!</v>
      </c>
      <c r="J99" s="17"/>
      <c r="K99" s="16" t="e">
        <f>COUNTIF(#REF!,"=4,13")</f>
        <v>#REF!</v>
      </c>
      <c r="L99" s="23" t="e">
        <f>#REF!</f>
        <v>#REF!</v>
      </c>
      <c r="M99" s="23" t="e">
        <f aca="true" t="shared" si="5" ref="M99:M126">IF(K88=0,"-----",K88)</f>
        <v>#REF!</v>
      </c>
      <c r="N99" s="23" t="e">
        <f>#REF!</f>
        <v>#REF!</v>
      </c>
      <c r="O99" s="15"/>
    </row>
    <row r="100" spans="4:15" ht="12.75">
      <c r="D100" s="12"/>
      <c r="F100" s="15">
        <f>COUNTIF('Регионы РФ'!A6:A1014,"=2,23")</f>
        <v>0</v>
      </c>
      <c r="G100" s="13" t="e">
        <f>'Регионы РФ'!#REF!</f>
        <v>#REF!</v>
      </c>
      <c r="H100" s="16" t="str">
        <f t="shared" si="4"/>
        <v>-----</v>
      </c>
      <c r="I100" s="17" t="e">
        <f>'Регионы РФ'!#REF!</f>
        <v>#REF!</v>
      </c>
      <c r="J100" s="17"/>
      <c r="K100" s="16" t="e">
        <f>COUNTIF(#REF!,"=4,14")</f>
        <v>#REF!</v>
      </c>
      <c r="L100" s="23" t="e">
        <f>#REF!</f>
        <v>#REF!</v>
      </c>
      <c r="M100" s="23" t="e">
        <f t="shared" si="5"/>
        <v>#REF!</v>
      </c>
      <c r="N100" s="23" t="e">
        <f>#REF!</f>
        <v>#REF!</v>
      </c>
      <c r="O100" s="15"/>
    </row>
    <row r="101" spans="4:15" ht="12.75">
      <c r="D101" s="12"/>
      <c r="F101" s="15">
        <f>COUNTIF('Регионы РФ'!A6:A1014,"=2,24")</f>
        <v>0</v>
      </c>
      <c r="G101" s="13" t="e">
        <f>'Регионы РФ'!#REF!</f>
        <v>#REF!</v>
      </c>
      <c r="H101" s="16" t="str">
        <f t="shared" si="4"/>
        <v>-----</v>
      </c>
      <c r="I101" s="17" t="e">
        <f>'Регионы РФ'!#REF!</f>
        <v>#REF!</v>
      </c>
      <c r="J101" s="17" t="s">
        <v>40</v>
      </c>
      <c r="K101" s="16" t="e">
        <f>COUNTIF(#REF!,"=4,15")</f>
        <v>#REF!</v>
      </c>
      <c r="L101" s="23" t="e">
        <f>#REF!</f>
        <v>#REF!</v>
      </c>
      <c r="M101" s="23" t="e">
        <f t="shared" si="5"/>
        <v>#REF!</v>
      </c>
      <c r="N101" s="23" t="e">
        <f>#REF!</f>
        <v>#REF!</v>
      </c>
      <c r="O101" s="15" t="s">
        <v>126</v>
      </c>
    </row>
    <row r="102" spans="4:15" ht="12.75">
      <c r="D102" s="26"/>
      <c r="F102" s="15">
        <f>COUNTIF('Регионы РФ'!A6:A1014,"=2,25")</f>
        <v>0</v>
      </c>
      <c r="G102" s="13" t="e">
        <f>'Регионы РФ'!#REF!</f>
        <v>#REF!</v>
      </c>
      <c r="H102" s="16" t="str">
        <f t="shared" si="4"/>
        <v>-----</v>
      </c>
      <c r="I102" s="17" t="e">
        <f>'Регионы РФ'!#REF!</f>
        <v>#REF!</v>
      </c>
      <c r="J102" s="17"/>
      <c r="K102" s="16" t="e">
        <f>COUNTIF(#REF!,"=4,16")</f>
        <v>#REF!</v>
      </c>
      <c r="L102" s="23" t="e">
        <f>#REF!</f>
        <v>#REF!</v>
      </c>
      <c r="M102" s="23" t="e">
        <f t="shared" si="5"/>
        <v>#REF!</v>
      </c>
      <c r="N102" s="23" t="e">
        <f>#REF!</f>
        <v>#REF!</v>
      </c>
      <c r="O102" s="15" t="s">
        <v>125</v>
      </c>
    </row>
    <row r="103" spans="4:15" ht="12.75">
      <c r="D103" s="12"/>
      <c r="F103" s="15">
        <f>COUNTIF('Регионы РФ'!A6:A1014,"=2,26")</f>
        <v>0</v>
      </c>
      <c r="G103" s="13" t="e">
        <f>'Регионы РФ'!#REF!</f>
        <v>#REF!</v>
      </c>
      <c r="H103" s="16" t="str">
        <f t="shared" si="4"/>
        <v>-----</v>
      </c>
      <c r="I103" s="17" t="e">
        <f>'Регионы РФ'!#REF!</f>
        <v>#REF!</v>
      </c>
      <c r="J103" s="17"/>
      <c r="K103" s="16" t="e">
        <f>COUNTIF(#REF!,"=4,17")</f>
        <v>#REF!</v>
      </c>
      <c r="L103" s="23" t="e">
        <f>#REF!</f>
        <v>#REF!</v>
      </c>
      <c r="M103" s="23" t="e">
        <f t="shared" si="5"/>
        <v>#REF!</v>
      </c>
      <c r="N103" s="23" t="e">
        <f>#REF!</f>
        <v>#REF!</v>
      </c>
      <c r="O103" s="15" t="s">
        <v>139</v>
      </c>
    </row>
    <row r="104" spans="4:15" ht="12.75">
      <c r="D104" s="26"/>
      <c r="F104" s="15">
        <f>COUNTIF('Регионы РФ'!A6:A1014,"=2,27")</f>
        <v>0</v>
      </c>
      <c r="G104" s="13" t="e">
        <f>'Регионы РФ'!#REF!</f>
        <v>#REF!</v>
      </c>
      <c r="H104" s="16" t="str">
        <f t="shared" si="4"/>
        <v>-----</v>
      </c>
      <c r="I104" s="17" t="e">
        <f>'Регионы РФ'!#REF!</f>
        <v>#REF!</v>
      </c>
      <c r="J104" s="17"/>
      <c r="K104" s="16" t="e">
        <f>COUNTIF(#REF!,"=4,18")</f>
        <v>#REF!</v>
      </c>
      <c r="L104" s="23" t="e">
        <f>#REF!</f>
        <v>#REF!</v>
      </c>
      <c r="M104" s="23" t="e">
        <f t="shared" si="5"/>
        <v>#REF!</v>
      </c>
      <c r="N104" s="23" t="e">
        <f>#REF!</f>
        <v>#REF!</v>
      </c>
      <c r="O104" s="15" t="s">
        <v>124</v>
      </c>
    </row>
    <row r="105" spans="4:15" ht="12.75">
      <c r="D105" s="12"/>
      <c r="F105" s="15">
        <f>COUNTIF('Регионы РФ'!A6:A1014,"=2,28")</f>
        <v>0</v>
      </c>
      <c r="G105" s="13" t="e">
        <f>'Регионы РФ'!#REF!</f>
        <v>#REF!</v>
      </c>
      <c r="H105" s="16" t="str">
        <f t="shared" si="4"/>
        <v>-----</v>
      </c>
      <c r="I105" s="17" t="e">
        <f>'Регионы РФ'!#REF!</f>
        <v>#REF!</v>
      </c>
      <c r="J105" s="17"/>
      <c r="K105" s="16" t="e">
        <f>COUNTIF(#REF!,"=4,19")</f>
        <v>#REF!</v>
      </c>
      <c r="L105" s="23" t="e">
        <f>#REF!</f>
        <v>#REF!</v>
      </c>
      <c r="M105" s="23" t="e">
        <f t="shared" si="5"/>
        <v>#REF!</v>
      </c>
      <c r="N105" s="23" t="e">
        <f>#REF!</f>
        <v>#REF!</v>
      </c>
      <c r="O105" s="15" t="s">
        <v>123</v>
      </c>
    </row>
    <row r="106" spans="4:15" ht="12.75">
      <c r="D106" s="12"/>
      <c r="F106" s="15">
        <f>COUNTIF('Регионы РФ'!A6:A1014,"=2,29")</f>
        <v>0</v>
      </c>
      <c r="G106" s="13" t="e">
        <f>'Регионы РФ'!#REF!</f>
        <v>#REF!</v>
      </c>
      <c r="H106" s="16" t="str">
        <f t="shared" si="4"/>
        <v>-----</v>
      </c>
      <c r="I106" s="17" t="e">
        <f>'Регионы РФ'!#REF!</f>
        <v>#REF!</v>
      </c>
      <c r="J106" s="17"/>
      <c r="K106" s="16" t="e">
        <f>COUNTIF(#REF!,"=4,21")</f>
        <v>#REF!</v>
      </c>
      <c r="L106" s="23" t="e">
        <f>#REF!</f>
        <v>#REF!</v>
      </c>
      <c r="M106" s="23" t="e">
        <f t="shared" si="5"/>
        <v>#REF!</v>
      </c>
      <c r="N106" s="23" t="e">
        <f>#REF!</f>
        <v>#REF!</v>
      </c>
      <c r="O106" s="15" t="s">
        <v>51</v>
      </c>
    </row>
    <row r="107" spans="4:15" ht="12.75">
      <c r="D107" s="26"/>
      <c r="F107" s="15">
        <f>COUNTIF('Регионы РФ'!A6:A1014,"=2,31")</f>
        <v>0</v>
      </c>
      <c r="G107" s="13" t="e">
        <f>'Регионы РФ'!#REF!</f>
        <v>#REF!</v>
      </c>
      <c r="H107" s="16" t="str">
        <f t="shared" si="4"/>
        <v>-----</v>
      </c>
      <c r="I107" s="17" t="e">
        <f>'Регионы РФ'!#REF!</f>
        <v>#REF!</v>
      </c>
      <c r="J107" s="17"/>
      <c r="K107" s="16" t="e">
        <f>COUNTIF(#REF!,"=4,22")</f>
        <v>#REF!</v>
      </c>
      <c r="L107" s="23" t="e">
        <f>#REF!</f>
        <v>#REF!</v>
      </c>
      <c r="M107" s="23" t="e">
        <f t="shared" si="5"/>
        <v>#REF!</v>
      </c>
      <c r="N107" s="23" t="e">
        <f>#REF!</f>
        <v>#REF!</v>
      </c>
      <c r="O107" s="15" t="s">
        <v>41</v>
      </c>
    </row>
    <row r="108" spans="4:15" ht="12.75">
      <c r="D108" s="12"/>
      <c r="F108" s="15">
        <f>COUNTIF('Регионы РФ'!A6:A1014,"=2,32")</f>
        <v>0</v>
      </c>
      <c r="G108" s="13" t="e">
        <f>'Регионы РФ'!#REF!</f>
        <v>#REF!</v>
      </c>
      <c r="H108" s="16" t="str">
        <f t="shared" si="4"/>
        <v>-----</v>
      </c>
      <c r="I108" s="17" t="e">
        <f>'Регионы РФ'!#REF!</f>
        <v>#REF!</v>
      </c>
      <c r="J108" s="17"/>
      <c r="K108" s="16" t="e">
        <f>COUNTIF(#REF!,"=4,23")</f>
        <v>#REF!</v>
      </c>
      <c r="L108" s="23" t="e">
        <f>#REF!</f>
        <v>#REF!</v>
      </c>
      <c r="M108" s="23" t="e">
        <f t="shared" si="5"/>
        <v>#REF!</v>
      </c>
      <c r="N108" s="23" t="e">
        <f>#REF!</f>
        <v>#REF!</v>
      </c>
      <c r="O108" s="15" t="s">
        <v>122</v>
      </c>
    </row>
    <row r="109" spans="4:15" ht="12.75">
      <c r="D109" s="12"/>
      <c r="F109" s="15">
        <f>COUNTIF('Регионы РФ'!A6:A1014,"=2,33")</f>
        <v>0</v>
      </c>
      <c r="G109" s="13" t="e">
        <f>'Регионы РФ'!#REF!</f>
        <v>#REF!</v>
      </c>
      <c r="H109" s="16" t="str">
        <f t="shared" si="4"/>
        <v>-----</v>
      </c>
      <c r="I109" s="17" t="e">
        <f>'Регионы РФ'!#REF!</f>
        <v>#REF!</v>
      </c>
      <c r="J109" s="17" t="s">
        <v>33</v>
      </c>
      <c r="K109" s="16" t="e">
        <f>COUNTIF(#REF!,"=4,24")</f>
        <v>#REF!</v>
      </c>
      <c r="L109" s="23" t="e">
        <f>#REF!</f>
        <v>#REF!</v>
      </c>
      <c r="M109" s="23" t="e">
        <f t="shared" si="5"/>
        <v>#REF!</v>
      </c>
      <c r="N109" s="23" t="e">
        <f>#REF!</f>
        <v>#REF!</v>
      </c>
      <c r="O109" s="15" t="s">
        <v>121</v>
      </c>
    </row>
    <row r="110" spans="4:15" ht="12.75">
      <c r="D110" s="26"/>
      <c r="F110" s="15">
        <f>COUNTIF('Регионы РФ'!A6:A1014,"=2,34")</f>
        <v>0</v>
      </c>
      <c r="G110" s="13" t="e">
        <f>'Регионы РФ'!#REF!</f>
        <v>#REF!</v>
      </c>
      <c r="H110" s="16" t="str">
        <f t="shared" si="4"/>
        <v>-----</v>
      </c>
      <c r="I110" s="17" t="e">
        <f>'Регионы РФ'!#REF!</f>
        <v>#REF!</v>
      </c>
      <c r="J110" s="17" t="s">
        <v>34</v>
      </c>
      <c r="K110" s="16" t="e">
        <f>COUNTIF(#REF!,"=4,25")</f>
        <v>#REF!</v>
      </c>
      <c r="L110" s="23" t="e">
        <f>#REF!</f>
        <v>#REF!</v>
      </c>
      <c r="M110" s="23" t="e">
        <f t="shared" si="5"/>
        <v>#REF!</v>
      </c>
      <c r="N110" s="23" t="e">
        <f>#REF!</f>
        <v>#REF!</v>
      </c>
      <c r="O110" s="15" t="s">
        <v>120</v>
      </c>
    </row>
    <row r="111" spans="4:15" ht="12.75">
      <c r="D111" s="12"/>
      <c r="F111" s="15">
        <f>COUNTIF('Регионы РФ'!A6:A1014,"=2,35")</f>
        <v>0</v>
      </c>
      <c r="G111" s="13" t="e">
        <f>'Регионы РФ'!#REF!</f>
        <v>#REF!</v>
      </c>
      <c r="H111" s="16" t="str">
        <f t="shared" si="4"/>
        <v>-----</v>
      </c>
      <c r="I111" s="17" t="e">
        <f>'Регионы РФ'!#REF!</f>
        <v>#REF!</v>
      </c>
      <c r="J111" s="17" t="s">
        <v>89</v>
      </c>
      <c r="K111" s="16" t="e">
        <f>COUNTIF(#REF!,"=4,26")</f>
        <v>#REF!</v>
      </c>
      <c r="L111" s="23" t="e">
        <f>#REF!</f>
        <v>#REF!</v>
      </c>
      <c r="M111" s="23" t="e">
        <f t="shared" si="5"/>
        <v>#REF!</v>
      </c>
      <c r="N111" s="23" t="e">
        <f>#REF!</f>
        <v>#REF!</v>
      </c>
      <c r="O111" s="15"/>
    </row>
    <row r="112" spans="4:15" ht="12.75">
      <c r="D112" s="12"/>
      <c r="F112" s="15">
        <f>COUNTIF('Регионы РФ'!A6:A1014,"=2,36")</f>
        <v>0</v>
      </c>
      <c r="G112" s="13" t="e">
        <f>'Регионы РФ'!#REF!</f>
        <v>#REF!</v>
      </c>
      <c r="H112" s="16" t="str">
        <f t="shared" si="4"/>
        <v>-----</v>
      </c>
      <c r="I112" s="17" t="e">
        <f>'Регионы РФ'!#REF!</f>
        <v>#REF!</v>
      </c>
      <c r="J112" s="17" t="s">
        <v>90</v>
      </c>
      <c r="K112" s="16" t="e">
        <f>COUNTIF(#REF!,"=4,27")</f>
        <v>#REF!</v>
      </c>
      <c r="L112" s="23" t="e">
        <f>#REF!</f>
        <v>#REF!</v>
      </c>
      <c r="M112" s="23" t="e">
        <f t="shared" si="5"/>
        <v>#REF!</v>
      </c>
      <c r="N112" s="23" t="e">
        <f>#REF!</f>
        <v>#REF!</v>
      </c>
      <c r="O112" s="15"/>
    </row>
    <row r="113" spans="4:15" ht="12.75">
      <c r="D113" s="12"/>
      <c r="F113" s="15">
        <f>COUNTIF('Регионы РФ'!A6:A1014,"=2,37")</f>
        <v>0</v>
      </c>
      <c r="G113" s="13" t="e">
        <f>'Регионы РФ'!#REF!</f>
        <v>#REF!</v>
      </c>
      <c r="H113" s="16" t="str">
        <f t="shared" si="4"/>
        <v>-----</v>
      </c>
      <c r="I113" s="17" t="e">
        <f>'Регионы РФ'!#REF!</f>
        <v>#REF!</v>
      </c>
      <c r="J113" s="17" t="s">
        <v>116</v>
      </c>
      <c r="K113" s="16" t="e">
        <f>COUNTIF(#REF!,"=4,28")</f>
        <v>#REF!</v>
      </c>
      <c r="L113" s="23" t="e">
        <f>#REF!</f>
        <v>#REF!</v>
      </c>
      <c r="M113" s="23" t="e">
        <f t="shared" si="5"/>
        <v>#REF!</v>
      </c>
      <c r="N113" s="23" t="e">
        <f>#REF!</f>
        <v>#REF!</v>
      </c>
      <c r="O113" s="15"/>
    </row>
    <row r="114" spans="4:15" ht="12.75">
      <c r="D114" s="12"/>
      <c r="F114" s="15">
        <f>COUNTIF('Регионы РФ'!A6:A1014,"=2,38")</f>
        <v>15</v>
      </c>
      <c r="G114" s="13" t="e">
        <f>'Регионы РФ'!#REF!</f>
        <v>#REF!</v>
      </c>
      <c r="H114" s="16">
        <f t="shared" si="4"/>
        <v>15</v>
      </c>
      <c r="I114" s="17" t="e">
        <f>'Регионы РФ'!#REF!</f>
        <v>#REF!</v>
      </c>
      <c r="J114" s="17" t="s">
        <v>117</v>
      </c>
      <c r="K114" s="16" t="e">
        <f>COUNTIF(#REF!,"=4,29")</f>
        <v>#REF!</v>
      </c>
      <c r="L114" s="23" t="e">
        <f>#REF!</f>
        <v>#REF!</v>
      </c>
      <c r="M114" s="23" t="e">
        <f t="shared" si="5"/>
        <v>#REF!</v>
      </c>
      <c r="N114" s="23" t="e">
        <f>#REF!</f>
        <v>#REF!</v>
      </c>
      <c r="O114" s="15"/>
    </row>
    <row r="115" spans="4:15" ht="12.75">
      <c r="D115" s="12"/>
      <c r="F115" s="15">
        <f>COUNTIF('Регионы РФ'!A6:A1014,"=2,39")</f>
        <v>0</v>
      </c>
      <c r="G115" s="13" t="e">
        <f>'Регионы РФ'!#REF!</f>
        <v>#REF!</v>
      </c>
      <c r="H115" s="16" t="str">
        <f t="shared" si="4"/>
        <v>-----</v>
      </c>
      <c r="I115" s="17" t="e">
        <f>'Регионы РФ'!#REF!</f>
        <v>#REF!</v>
      </c>
      <c r="J115" s="17"/>
      <c r="K115" s="16" t="e">
        <f>COUNTIF(#REF!,"=4,31")</f>
        <v>#REF!</v>
      </c>
      <c r="L115" s="23" t="e">
        <f>#REF!</f>
        <v>#REF!</v>
      </c>
      <c r="M115" s="23" t="e">
        <f t="shared" si="5"/>
        <v>#REF!</v>
      </c>
      <c r="N115" s="23" t="e">
        <f>#REF!</f>
        <v>#REF!</v>
      </c>
      <c r="O115" s="15"/>
    </row>
    <row r="116" spans="4:15" ht="12.75">
      <c r="D116" s="12"/>
      <c r="F116" s="15">
        <f>COUNTIF('Регионы РФ'!A6:A1014,"=2,41")</f>
        <v>2</v>
      </c>
      <c r="G116" s="13" t="e">
        <f>'Регионы РФ'!#REF!</f>
        <v>#REF!</v>
      </c>
      <c r="H116" s="16">
        <f t="shared" si="4"/>
        <v>2</v>
      </c>
      <c r="I116" s="17" t="e">
        <f>'Регионы РФ'!#REF!</f>
        <v>#REF!</v>
      </c>
      <c r="J116" s="17"/>
      <c r="L116" s="23" t="e">
        <f>#REF!</f>
        <v>#REF!</v>
      </c>
      <c r="M116" s="23" t="e">
        <f t="shared" si="5"/>
        <v>#REF!</v>
      </c>
      <c r="N116" s="23" t="e">
        <f>#REF!</f>
        <v>#REF!</v>
      </c>
      <c r="O116" s="15"/>
    </row>
    <row r="117" spans="4:15" ht="12.75">
      <c r="D117" s="12"/>
      <c r="F117" s="15">
        <f>COUNTIF('Регионы РФ'!A6:A1014,"=2,42")</f>
        <v>1</v>
      </c>
      <c r="G117" s="13" t="e">
        <f>'Регионы РФ'!#REF!</f>
        <v>#REF!</v>
      </c>
      <c r="H117" s="16">
        <f t="shared" si="4"/>
        <v>1</v>
      </c>
      <c r="I117" s="17" t="e">
        <f>'Регионы РФ'!#REF!</f>
        <v>#REF!</v>
      </c>
      <c r="J117" s="17"/>
      <c r="L117" s="23" t="e">
        <f>#REF!</f>
        <v>#REF!</v>
      </c>
      <c r="M117" s="23" t="e">
        <f t="shared" si="5"/>
        <v>#REF!</v>
      </c>
      <c r="N117" s="23" t="e">
        <f>#REF!</f>
        <v>#REF!</v>
      </c>
      <c r="O117" s="15"/>
    </row>
    <row r="118" spans="6:15" ht="12.75">
      <c r="F118" s="15">
        <f>COUNTIF('Регионы РФ'!A6:A1014,"=2,43")</f>
        <v>4</v>
      </c>
      <c r="G118" s="13" t="e">
        <f>'Регионы РФ'!#REF!</f>
        <v>#REF!</v>
      </c>
      <c r="H118" s="16">
        <f t="shared" si="4"/>
        <v>4</v>
      </c>
      <c r="I118" s="17" t="e">
        <f>'Регионы РФ'!#REF!</f>
        <v>#REF!</v>
      </c>
      <c r="J118" s="17"/>
      <c r="L118" s="23" t="e">
        <f>#REF!</f>
        <v>#REF!</v>
      </c>
      <c r="M118" s="23" t="e">
        <f t="shared" si="5"/>
        <v>#REF!</v>
      </c>
      <c r="N118" s="23" t="e">
        <f>#REF!</f>
        <v>#REF!</v>
      </c>
      <c r="O118" s="15"/>
    </row>
    <row r="119" spans="4:15" ht="12.75">
      <c r="D119" s="12"/>
      <c r="F119" s="15">
        <f>COUNTIF('Регионы РФ'!A6:A1014,"=2,44")</f>
        <v>0</v>
      </c>
      <c r="G119" s="13" t="e">
        <f>'Регионы РФ'!#REF!</f>
        <v>#REF!</v>
      </c>
      <c r="H119" s="16" t="str">
        <f t="shared" si="4"/>
        <v>-----</v>
      </c>
      <c r="I119" s="17" t="e">
        <f>'Регионы РФ'!#REF!</f>
        <v>#REF!</v>
      </c>
      <c r="J119" s="17"/>
      <c r="L119" s="23" t="e">
        <f>#REF!</f>
        <v>#REF!</v>
      </c>
      <c r="M119" s="23" t="e">
        <f t="shared" si="5"/>
        <v>#REF!</v>
      </c>
      <c r="N119" s="23" t="e">
        <f>#REF!</f>
        <v>#REF!</v>
      </c>
      <c r="O119" s="15"/>
    </row>
    <row r="120" spans="4:15" ht="12.75">
      <c r="D120" s="26"/>
      <c r="F120" s="15">
        <f>COUNTIF('Регионы РФ'!A6:A1014,"=2,45")</f>
        <v>0</v>
      </c>
      <c r="G120" s="13" t="e">
        <f>'Регионы РФ'!#REF!</f>
        <v>#REF!</v>
      </c>
      <c r="H120" s="16" t="str">
        <f t="shared" si="4"/>
        <v>-----</v>
      </c>
      <c r="I120" s="17" t="e">
        <f>'Регионы РФ'!#REF!</f>
        <v>#REF!</v>
      </c>
      <c r="J120" s="17"/>
      <c r="L120" s="23" t="e">
        <f>#REF!</f>
        <v>#REF!</v>
      </c>
      <c r="M120" s="23" t="e">
        <f t="shared" si="5"/>
        <v>#REF!</v>
      </c>
      <c r="N120" s="23" t="e">
        <f>#REF!</f>
        <v>#REF!</v>
      </c>
      <c r="O120" s="15"/>
    </row>
    <row r="121" spans="4:15" ht="12.75">
      <c r="D121" s="12"/>
      <c r="F121" s="15">
        <f>COUNTIF('Регионы РФ'!A6:A1014,"=2,46")</f>
        <v>0</v>
      </c>
      <c r="G121" s="13" t="e">
        <f>'Регионы РФ'!#REF!</f>
        <v>#REF!</v>
      </c>
      <c r="H121" s="16" t="str">
        <f t="shared" si="4"/>
        <v>-----</v>
      </c>
      <c r="I121" s="17" t="e">
        <f>'Регионы РФ'!#REF!</f>
        <v>#REF!</v>
      </c>
      <c r="L121" s="23" t="e">
        <f>#REF!</f>
        <v>#REF!</v>
      </c>
      <c r="M121" s="23" t="e">
        <f t="shared" si="5"/>
        <v>#REF!</v>
      </c>
      <c r="N121" s="23" t="e">
        <f>#REF!</f>
        <v>#REF!</v>
      </c>
      <c r="O121" s="15"/>
    </row>
    <row r="122" spans="4:15" ht="12.75">
      <c r="D122" s="12"/>
      <c r="G122" s="13"/>
      <c r="H122" s="16"/>
      <c r="L122" s="23" t="e">
        <f>#REF!</f>
        <v>#REF!</v>
      </c>
      <c r="M122" s="23" t="e">
        <f t="shared" si="5"/>
        <v>#REF!</v>
      </c>
      <c r="N122" s="23" t="e">
        <f>#REF!</f>
        <v>#REF!</v>
      </c>
      <c r="O122" s="15"/>
    </row>
    <row r="123" spans="4:15" ht="12.75">
      <c r="D123" s="12"/>
      <c r="G123" s="13"/>
      <c r="H123" s="16"/>
      <c r="L123" s="23" t="e">
        <f>#REF!</f>
        <v>#REF!</v>
      </c>
      <c r="M123" s="23" t="e">
        <f t="shared" si="5"/>
        <v>#REF!</v>
      </c>
      <c r="N123" s="23" t="e">
        <f>#REF!</f>
        <v>#REF!</v>
      </c>
      <c r="O123" s="15"/>
    </row>
    <row r="124" spans="4:15" ht="12.75">
      <c r="D124" s="12"/>
      <c r="G124" s="13"/>
      <c r="H124" s="16"/>
      <c r="L124" s="23" t="e">
        <f>#REF!</f>
        <v>#REF!</v>
      </c>
      <c r="M124" s="23" t="e">
        <f t="shared" si="5"/>
        <v>#REF!</v>
      </c>
      <c r="N124" s="23" t="e">
        <f>#REF!</f>
        <v>#REF!</v>
      </c>
      <c r="O124" s="15"/>
    </row>
    <row r="125" spans="4:15" ht="12.75">
      <c r="D125" s="12"/>
      <c r="G125" s="13"/>
      <c r="H125" s="16"/>
      <c r="L125" s="23" t="e">
        <f>#REF!</f>
        <v>#REF!</v>
      </c>
      <c r="M125" s="23" t="e">
        <f t="shared" si="5"/>
        <v>#REF!</v>
      </c>
      <c r="N125" s="23" t="e">
        <f>#REF!</f>
        <v>#REF!</v>
      </c>
      <c r="O125" s="15"/>
    </row>
    <row r="126" spans="4:15" ht="12.75">
      <c r="D126" s="12"/>
      <c r="G126" s="13"/>
      <c r="H126" s="16"/>
      <c r="L126" s="23" t="e">
        <f>#REF!</f>
        <v>#REF!</v>
      </c>
      <c r="M126" s="23" t="e">
        <f t="shared" si="5"/>
        <v>#REF!</v>
      </c>
      <c r="N126" s="23" t="e">
        <f>#REF!</f>
        <v>#REF!</v>
      </c>
      <c r="O126" s="15"/>
    </row>
    <row r="127" spans="4:13" ht="12.75">
      <c r="D127" s="12"/>
      <c r="G127" s="13"/>
      <c r="H127" s="16"/>
      <c r="L127" s="23"/>
      <c r="M127" s="23"/>
    </row>
    <row r="128" spans="4:12" ht="12.75">
      <c r="D128" s="12"/>
      <c r="L128" s="23"/>
    </row>
  </sheetData>
  <sheetProtection password="CC3D" sheet="1" objects="1" scenarios="1" selectLockedCells="1" selectUnlockedCells="1"/>
  <mergeCells count="29">
    <mergeCell ref="L2:N3"/>
    <mergeCell ref="L17:L18"/>
    <mergeCell ref="E31:E32"/>
    <mergeCell ref="D29:D32"/>
    <mergeCell ref="L73:N74"/>
    <mergeCell ref="N55:N70"/>
    <mergeCell ref="G2:I3"/>
    <mergeCell ref="C2:E3"/>
    <mergeCell ref="L34:N35"/>
    <mergeCell ref="L51:L52"/>
    <mergeCell ref="N17:N18"/>
    <mergeCell ref="M17:M20"/>
    <mergeCell ref="L19:L20"/>
    <mergeCell ref="L92:L93"/>
    <mergeCell ref="H74:H77"/>
    <mergeCell ref="I76:I77"/>
    <mergeCell ref="M51:M52"/>
    <mergeCell ref="N51:N52"/>
    <mergeCell ref="N19:N20"/>
    <mergeCell ref="I74:I75"/>
    <mergeCell ref="N94:N95"/>
    <mergeCell ref="C31:C32"/>
    <mergeCell ref="C29:C30"/>
    <mergeCell ref="E29:E30"/>
    <mergeCell ref="N92:N93"/>
    <mergeCell ref="M92:M95"/>
    <mergeCell ref="L94:L95"/>
    <mergeCell ref="G76:G77"/>
    <mergeCell ref="G74:G7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AnikinA</cp:lastModifiedBy>
  <cp:lastPrinted>2019-04-30T11:53:03Z</cp:lastPrinted>
  <dcterms:created xsi:type="dcterms:W3CDTF">2010-12-22T12:53:08Z</dcterms:created>
  <dcterms:modified xsi:type="dcterms:W3CDTF">2019-09-30T14:22:00Z</dcterms:modified>
  <cp:category/>
  <cp:version/>
  <cp:contentType/>
  <cp:contentStatus/>
</cp:coreProperties>
</file>